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для сайта НРБ\"/>
    </mc:Choice>
  </mc:AlternateContent>
  <bookViews>
    <workbookView xWindow="120" yWindow="840" windowWidth="9555" windowHeight="4155" tabRatio="642" activeTab="2"/>
  </bookViews>
  <sheets>
    <sheet name="анализ 1 кварт 2023" sheetId="29" r:id="rId1"/>
    <sheet name="анализ 1 кварт-2023" sheetId="30" r:id="rId2"/>
    <sheet name="анализ 1полугод 2023 (2)" sheetId="33" r:id="rId3"/>
    <sheet name="медикаменты-2023" sheetId="26" r:id="rId4"/>
    <sheet name="ПФХД 2018-2025гг" sheetId="28" r:id="rId5"/>
    <sheet name="Лист1" sheetId="32" r:id="rId6"/>
  </sheets>
  <calcPr calcId="152511"/>
</workbook>
</file>

<file path=xl/calcChain.xml><?xml version="1.0" encoding="utf-8"?>
<calcChain xmlns="http://schemas.openxmlformats.org/spreadsheetml/2006/main">
  <c r="I10" i="32" l="1"/>
  <c r="J10" i="32"/>
  <c r="J14" i="32"/>
  <c r="J15" i="32"/>
  <c r="I14" i="32"/>
  <c r="I15" i="32"/>
  <c r="G11" i="32"/>
  <c r="G12" i="32"/>
  <c r="F9" i="32"/>
  <c r="G9" i="32" s="1"/>
  <c r="F10" i="32"/>
  <c r="G10" i="32" s="1"/>
  <c r="F11" i="32"/>
  <c r="J11" i="32" s="1"/>
  <c r="F12" i="32"/>
  <c r="J12" i="32" s="1"/>
  <c r="F13" i="32"/>
  <c r="G13" i="32" s="1"/>
  <c r="F8" i="32"/>
  <c r="H10" i="32" s="1"/>
  <c r="C13" i="32"/>
  <c r="F16" i="32" l="1"/>
  <c r="H16" i="32" s="1"/>
  <c r="I13" i="32"/>
  <c r="G8" i="32"/>
  <c r="G16" i="32" s="1"/>
  <c r="I8" i="32"/>
  <c r="I16" i="32" s="1"/>
  <c r="I12" i="32"/>
  <c r="J8" i="32"/>
  <c r="I9" i="32"/>
  <c r="H13" i="32"/>
  <c r="J13" i="32"/>
  <c r="J9" i="32"/>
  <c r="I11" i="32"/>
  <c r="J16" i="32" l="1"/>
  <c r="E16" i="32" l="1"/>
  <c r="D16" i="32"/>
  <c r="B16" i="32"/>
  <c r="I32" i="33" l="1"/>
  <c r="F11" i="30" l="1"/>
  <c r="H12" i="30"/>
  <c r="I12" i="29"/>
  <c r="H14" i="30"/>
  <c r="H15" i="30"/>
  <c r="H13" i="30"/>
  <c r="H16" i="30"/>
  <c r="H17" i="30"/>
  <c r="H18" i="30"/>
  <c r="H25" i="30"/>
  <c r="H26" i="30"/>
  <c r="H27" i="30"/>
  <c r="H28" i="30"/>
  <c r="H29" i="30"/>
  <c r="H24" i="30"/>
  <c r="H21" i="30"/>
  <c r="H22" i="30"/>
  <c r="H20" i="30"/>
  <c r="F29" i="30"/>
  <c r="F28" i="30"/>
  <c r="F26" i="30"/>
  <c r="F23" i="30" s="1"/>
  <c r="F25" i="30"/>
  <c r="F24" i="30"/>
  <c r="F21" i="30"/>
  <c r="F20" i="30"/>
  <c r="F19" i="30"/>
  <c r="F17" i="30"/>
  <c r="F16" i="30"/>
  <c r="F15" i="30"/>
  <c r="F12" i="30"/>
  <c r="F10" i="30"/>
  <c r="H10" i="30" s="1"/>
  <c r="F6" i="30"/>
  <c r="F5" i="30"/>
  <c r="E33" i="30"/>
  <c r="F33" i="30"/>
  <c r="G33" i="30"/>
  <c r="D33" i="30"/>
  <c r="I31" i="30"/>
  <c r="I32" i="30"/>
  <c r="I6" i="30"/>
  <c r="I7" i="30"/>
  <c r="I8" i="30"/>
  <c r="I9" i="30"/>
  <c r="I10" i="30"/>
  <c r="I11" i="30"/>
  <c r="I12" i="30"/>
  <c r="I13" i="30"/>
  <c r="I14" i="30"/>
  <c r="I15" i="30"/>
  <c r="I16" i="30"/>
  <c r="I17" i="30"/>
  <c r="I18" i="30"/>
  <c r="I19" i="30"/>
  <c r="I20" i="30"/>
  <c r="I21" i="30"/>
  <c r="I22" i="30"/>
  <c r="I23" i="30"/>
  <c r="I24" i="30"/>
  <c r="I25" i="30"/>
  <c r="I26" i="30"/>
  <c r="I27" i="30"/>
  <c r="I28" i="30"/>
  <c r="I29" i="30"/>
  <c r="I5" i="30"/>
  <c r="H30" i="30"/>
  <c r="H19" i="30"/>
  <c r="H6" i="30"/>
  <c r="H7" i="30"/>
  <c r="H8" i="30"/>
  <c r="H9" i="30"/>
  <c r="H5" i="30"/>
  <c r="E29" i="30"/>
  <c r="E26" i="30"/>
  <c r="E25" i="30"/>
  <c r="E24" i="30"/>
  <c r="E23" i="30" s="1"/>
  <c r="G23" i="30"/>
  <c r="E22" i="30"/>
  <c r="G21" i="30"/>
  <c r="E21" i="30"/>
  <c r="E20" i="30"/>
  <c r="E19" i="30"/>
  <c r="G18" i="30"/>
  <c r="E18" i="30"/>
  <c r="G17" i="30"/>
  <c r="G15" i="30" s="1"/>
  <c r="E17" i="30"/>
  <c r="E16" i="30"/>
  <c r="E14" i="30"/>
  <c r="E13" i="30"/>
  <c r="E12" i="30"/>
  <c r="G11" i="30"/>
  <c r="G10" i="30"/>
  <c r="E10" i="30"/>
  <c r="E9" i="30"/>
  <c r="E8" i="30"/>
  <c r="E7" i="30"/>
  <c r="E6" i="30" s="1"/>
  <c r="G6" i="30"/>
  <c r="E5" i="30"/>
  <c r="H11" i="30" l="1"/>
  <c r="G32" i="30"/>
  <c r="G4" i="30" s="1"/>
  <c r="F32" i="30"/>
  <c r="F4" i="30" s="1"/>
  <c r="E15" i="30"/>
  <c r="E11" i="30"/>
  <c r="G14" i="33"/>
  <c r="F21" i="33"/>
  <c r="E10" i="33"/>
  <c r="E24" i="33"/>
  <c r="H24" i="33" s="1"/>
  <c r="E20" i="33"/>
  <c r="I20" i="33" s="1"/>
  <c r="E18" i="33"/>
  <c r="H18" i="33" s="1"/>
  <c r="F17" i="33"/>
  <c r="F18" i="33"/>
  <c r="F10" i="33"/>
  <c r="F14" i="33"/>
  <c r="D29" i="33"/>
  <c r="G29" i="33" s="1"/>
  <c r="D26" i="33"/>
  <c r="G26" i="33" s="1"/>
  <c r="D25" i="33"/>
  <c r="G25" i="33" s="1"/>
  <c r="D24" i="33"/>
  <c r="D22" i="33"/>
  <c r="G22" i="33" s="1"/>
  <c r="D21" i="33"/>
  <c r="E21" i="33" s="1"/>
  <c r="H21" i="33" s="1"/>
  <c r="D20" i="33"/>
  <c r="D19" i="33"/>
  <c r="G19" i="33" s="1"/>
  <c r="D18" i="33"/>
  <c r="D17" i="33"/>
  <c r="E17" i="33" s="1"/>
  <c r="D16" i="33"/>
  <c r="E16" i="33" s="1"/>
  <c r="D14" i="33"/>
  <c r="E14" i="33" s="1"/>
  <c r="D13" i="33"/>
  <c r="G13" i="33" s="1"/>
  <c r="D12" i="33"/>
  <c r="D10" i="33"/>
  <c r="D9" i="33"/>
  <c r="G9" i="33" s="1"/>
  <c r="D8" i="33"/>
  <c r="G8" i="33" s="1"/>
  <c r="D7" i="33"/>
  <c r="G7" i="33" s="1"/>
  <c r="D5" i="33"/>
  <c r="G35" i="33"/>
  <c r="I30" i="33"/>
  <c r="E29" i="33"/>
  <c r="I29" i="33" s="1"/>
  <c r="G28" i="33"/>
  <c r="E28" i="33"/>
  <c r="I28" i="33" s="1"/>
  <c r="G24" i="33"/>
  <c r="F23" i="33"/>
  <c r="C23" i="33"/>
  <c r="G20" i="33"/>
  <c r="G16" i="33"/>
  <c r="F11" i="33"/>
  <c r="C11" i="33"/>
  <c r="G10" i="33"/>
  <c r="I9" i="33"/>
  <c r="H9" i="33"/>
  <c r="I8" i="33"/>
  <c r="H8" i="33"/>
  <c r="I7" i="33"/>
  <c r="H7" i="33"/>
  <c r="F6" i="33"/>
  <c r="E6" i="33"/>
  <c r="H6" i="33" s="1"/>
  <c r="D6" i="33"/>
  <c r="G6" i="33" s="1"/>
  <c r="C6" i="33"/>
  <c r="G5" i="33"/>
  <c r="E5" i="33"/>
  <c r="C4" i="33"/>
  <c r="I14" i="33" l="1"/>
  <c r="H14" i="33"/>
  <c r="I24" i="33"/>
  <c r="I18" i="33"/>
  <c r="E26" i="33"/>
  <c r="I26" i="33" s="1"/>
  <c r="E13" i="33"/>
  <c r="G21" i="33"/>
  <c r="H28" i="33"/>
  <c r="E22" i="33"/>
  <c r="H32" i="30"/>
  <c r="E32" i="30"/>
  <c r="E4" i="30" s="1"/>
  <c r="I17" i="33"/>
  <c r="G23" i="33"/>
  <c r="E25" i="33"/>
  <c r="E19" i="33"/>
  <c r="I19" i="33" s="1"/>
  <c r="G17" i="33"/>
  <c r="D15" i="33"/>
  <c r="D11" i="33"/>
  <c r="G11" i="33" s="1"/>
  <c r="E12" i="33"/>
  <c r="I12" i="33" s="1"/>
  <c r="G12" i="33"/>
  <c r="E23" i="33"/>
  <c r="I25" i="33"/>
  <c r="H25" i="33"/>
  <c r="I10" i="33"/>
  <c r="H10" i="33"/>
  <c r="I5" i="33"/>
  <c r="H5" i="33"/>
  <c r="I16" i="33"/>
  <c r="H16" i="33"/>
  <c r="I6" i="33"/>
  <c r="I21" i="33"/>
  <c r="E11" i="33"/>
  <c r="H11" i="33" s="1"/>
  <c r="H12" i="33"/>
  <c r="F15" i="33"/>
  <c r="F32" i="33" s="1"/>
  <c r="H20" i="33"/>
  <c r="H26" i="33"/>
  <c r="H29" i="33"/>
  <c r="H17" i="33"/>
  <c r="G18" i="33"/>
  <c r="D23" i="33"/>
  <c r="G27" i="29"/>
  <c r="H27" i="29"/>
  <c r="G28" i="29"/>
  <c r="H24" i="29"/>
  <c r="H22" i="29"/>
  <c r="H18" i="29"/>
  <c r="I14" i="29"/>
  <c r="H13" i="29"/>
  <c r="H14" i="29"/>
  <c r="H7" i="29"/>
  <c r="E24" i="29"/>
  <c r="H8" i="29"/>
  <c r="H9" i="29"/>
  <c r="D33" i="29"/>
  <c r="D29" i="29"/>
  <c r="G29" i="29" s="1"/>
  <c r="E28" i="29"/>
  <c r="H28" i="29" s="1"/>
  <c r="E20" i="29"/>
  <c r="H20" i="29" s="1"/>
  <c r="F21" i="29"/>
  <c r="E21" i="29" s="1"/>
  <c r="F17" i="29"/>
  <c r="F18" i="29"/>
  <c r="F10" i="29"/>
  <c r="F11" i="29"/>
  <c r="H19" i="33" l="1"/>
  <c r="I13" i="33"/>
  <c r="H13" i="33"/>
  <c r="H22" i="33"/>
  <c r="I22" i="33"/>
  <c r="G15" i="33"/>
  <c r="D32" i="33"/>
  <c r="G32" i="33" s="1"/>
  <c r="E15" i="33"/>
  <c r="E32" i="33" s="1"/>
  <c r="I23" i="33"/>
  <c r="F4" i="33"/>
  <c r="I11" i="33"/>
  <c r="H23" i="33"/>
  <c r="H21" i="29"/>
  <c r="I21" i="29"/>
  <c r="I20" i="29"/>
  <c r="C34" i="29"/>
  <c r="I15" i="33" l="1"/>
  <c r="H15" i="33"/>
  <c r="D4" i="33"/>
  <c r="G4" i="33" s="1"/>
  <c r="G33" i="33"/>
  <c r="E4" i="33"/>
  <c r="H32" i="33"/>
  <c r="H4" i="33" s="1"/>
  <c r="D26" i="29"/>
  <c r="D25" i="29"/>
  <c r="D24" i="29"/>
  <c r="G24" i="29" s="1"/>
  <c r="D23" i="29"/>
  <c r="D22" i="29"/>
  <c r="G22" i="29" s="1"/>
  <c r="D21" i="29"/>
  <c r="G21" i="29" s="1"/>
  <c r="D20" i="29"/>
  <c r="G20" i="29" s="1"/>
  <c r="D19" i="29"/>
  <c r="D18" i="29"/>
  <c r="G18" i="29" s="1"/>
  <c r="D17" i="29"/>
  <c r="D16" i="29"/>
  <c r="D15" i="29"/>
  <c r="D14" i="29"/>
  <c r="G14" i="29" s="1"/>
  <c r="D13" i="29"/>
  <c r="G13" i="29" s="1"/>
  <c r="D12" i="29"/>
  <c r="D11" i="29"/>
  <c r="D10" i="29"/>
  <c r="D9" i="29"/>
  <c r="G9" i="29" s="1"/>
  <c r="D8" i="29"/>
  <c r="G8" i="29" s="1"/>
  <c r="D7" i="29"/>
  <c r="D5" i="29"/>
  <c r="E5" i="29" s="1"/>
  <c r="I5" i="29" s="1"/>
  <c r="C23" i="29"/>
  <c r="C11" i="29"/>
  <c r="E11" i="29" s="1"/>
  <c r="C6" i="29"/>
  <c r="C4" i="29"/>
  <c r="G12" i="29" l="1"/>
  <c r="E12" i="29"/>
  <c r="H12" i="29" s="1"/>
  <c r="G16" i="29"/>
  <c r="E16" i="29"/>
  <c r="H16" i="29" s="1"/>
  <c r="D6" i="29"/>
  <c r="G7" i="29"/>
  <c r="E15" i="29"/>
  <c r="G19" i="29"/>
  <c r="E19" i="29"/>
  <c r="H19" i="29" s="1"/>
  <c r="E17" i="29"/>
  <c r="H17" i="29" s="1"/>
  <c r="G17" i="29"/>
  <c r="E25" i="29"/>
  <c r="H25" i="29" s="1"/>
  <c r="G25" i="29"/>
  <c r="G10" i="29"/>
  <c r="E10" i="29"/>
  <c r="H10" i="29" s="1"/>
  <c r="G26" i="29"/>
  <c r="G23" i="29" s="1"/>
  <c r="E26" i="29"/>
  <c r="H26" i="29" s="1"/>
  <c r="E10" i="28"/>
  <c r="F10" i="28"/>
  <c r="C13" i="28"/>
  <c r="D13" i="28"/>
  <c r="D32" i="29" l="1"/>
  <c r="F13" i="28"/>
  <c r="E6" i="28"/>
  <c r="E7" i="28"/>
  <c r="E8" i="28"/>
  <c r="E9" i="28"/>
  <c r="E5" i="28"/>
  <c r="F8" i="28"/>
  <c r="D34" i="29" l="1"/>
  <c r="D4" i="29"/>
  <c r="E13" i="28"/>
  <c r="F9" i="28"/>
  <c r="C17" i="26" l="1"/>
  <c r="C10" i="26"/>
  <c r="C31" i="26"/>
  <c r="C21" i="26"/>
  <c r="L38" i="26" s="1"/>
  <c r="C6" i="26" l="1"/>
  <c r="D27" i="26" l="1"/>
  <c r="E6" i="26" s="1"/>
  <c r="E27" i="26" s="1"/>
  <c r="F6" i="26" s="1"/>
  <c r="F27" i="26" s="1"/>
  <c r="G6" i="26" s="1"/>
  <c r="B6" i="26"/>
  <c r="B11" i="26" s="1"/>
  <c r="I30" i="29" l="1"/>
  <c r="I7" i="29"/>
  <c r="I8" i="29"/>
  <c r="I9" i="29"/>
  <c r="I13" i="29"/>
  <c r="I18" i="29"/>
  <c r="I19" i="29"/>
  <c r="I25" i="29"/>
  <c r="I27" i="29"/>
  <c r="I28" i="29"/>
  <c r="I24" i="29"/>
  <c r="I10" i="29"/>
  <c r="H5" i="29" l="1"/>
  <c r="I22" i="29" l="1"/>
  <c r="G5" i="29"/>
  <c r="E29" i="29"/>
  <c r="I26" i="29"/>
  <c r="I17" i="29"/>
  <c r="I16" i="29"/>
  <c r="I29" i="29" l="1"/>
  <c r="H29" i="29"/>
  <c r="E23" i="29"/>
  <c r="E32" i="29" s="1"/>
  <c r="F23" i="29"/>
  <c r="E6" i="29"/>
  <c r="F6" i="29"/>
  <c r="G6" i="29" s="1"/>
  <c r="D6" i="30"/>
  <c r="D11" i="30"/>
  <c r="D23" i="30"/>
  <c r="H6" i="29" l="1"/>
  <c r="I6" i="29"/>
  <c r="I23" i="29"/>
  <c r="D4" i="30"/>
  <c r="I11" i="29" l="1"/>
  <c r="H33" i="30"/>
  <c r="E4" i="29" l="1"/>
  <c r="G33" i="29" l="1"/>
  <c r="H23" i="29" l="1"/>
  <c r="B20" i="26" l="1"/>
  <c r="B25" i="26" s="1"/>
  <c r="B13" i="26"/>
  <c r="B17" i="26" s="1"/>
  <c r="B27" i="26" l="1"/>
  <c r="B32" i="26" s="1"/>
  <c r="C24" i="26"/>
  <c r="D25" i="26" l="1"/>
  <c r="H23" i="30"/>
  <c r="C7" i="26" l="1"/>
  <c r="C8" i="26"/>
  <c r="C9" i="26"/>
  <c r="E25" i="26"/>
  <c r="F25" i="26"/>
  <c r="G25" i="26"/>
  <c r="H25" i="26"/>
  <c r="I25" i="26"/>
  <c r="J25" i="26"/>
  <c r="K25" i="26"/>
  <c r="L25" i="26"/>
  <c r="M25" i="26"/>
  <c r="N25" i="26"/>
  <c r="C23" i="26"/>
  <c r="N38" i="26" s="1"/>
  <c r="N41" i="26" s="1"/>
  <c r="O41" i="26" s="1"/>
  <c r="C22" i="26"/>
  <c r="M38" i="26" s="1"/>
  <c r="C16" i="26"/>
  <c r="C14" i="26"/>
  <c r="N18" i="26"/>
  <c r="M18" i="26"/>
  <c r="L18" i="26"/>
  <c r="K18" i="26"/>
  <c r="J18" i="26"/>
  <c r="I18" i="26"/>
  <c r="H18" i="26"/>
  <c r="G18" i="26"/>
  <c r="F18" i="26"/>
  <c r="E18" i="26"/>
  <c r="D18" i="26"/>
  <c r="J11" i="26"/>
  <c r="G11" i="26"/>
  <c r="F11" i="26"/>
  <c r="E11" i="26"/>
  <c r="R9" i="26"/>
  <c r="P10" i="26"/>
  <c r="Q8" i="26" s="1"/>
  <c r="F38" i="26" l="1"/>
  <c r="F41" i="26" s="1"/>
  <c r="G41" i="26" s="1"/>
  <c r="M40" i="26"/>
  <c r="O40" i="26" s="1"/>
  <c r="O38" i="26"/>
  <c r="D38" i="26"/>
  <c r="C28" i="26"/>
  <c r="C30" i="26"/>
  <c r="O18" i="26"/>
  <c r="O25" i="26"/>
  <c r="C15" i="26"/>
  <c r="E38" i="26" s="1"/>
  <c r="C25" i="26"/>
  <c r="L39" i="26"/>
  <c r="O39" i="26" s="1"/>
  <c r="Q7" i="26"/>
  <c r="Q9" i="26"/>
  <c r="D11" i="26"/>
  <c r="E40" i="26" l="1"/>
  <c r="G40" i="26" s="1"/>
  <c r="G38" i="26"/>
  <c r="D39" i="26"/>
  <c r="G39" i="26" s="1"/>
  <c r="C29" i="26"/>
  <c r="G27" i="26" l="1"/>
  <c r="H6" i="26" s="1"/>
  <c r="H27" i="26" s="1"/>
  <c r="I6" i="26" s="1"/>
  <c r="C13" i="26"/>
  <c r="C18" i="26" s="1"/>
  <c r="C20" i="26"/>
  <c r="C29" i="30"/>
  <c r="C23" i="30" s="1"/>
  <c r="C21" i="30"/>
  <c r="C13" i="30"/>
  <c r="C11" i="30" s="1"/>
  <c r="C10" i="30"/>
  <c r="C6" i="30"/>
  <c r="I27" i="26" l="1"/>
  <c r="J6" i="26" s="1"/>
  <c r="J27" i="26" s="1"/>
  <c r="K6" i="26" s="1"/>
  <c r="H11" i="26"/>
  <c r="C4" i="30"/>
  <c r="C31" i="30" s="1"/>
  <c r="C27" i="26"/>
  <c r="C11" i="26"/>
  <c r="C32" i="26" s="1"/>
  <c r="K27" i="26" l="1"/>
  <c r="K11" i="26"/>
  <c r="I11" i="26"/>
  <c r="G32" i="26"/>
  <c r="J32" i="26"/>
  <c r="F32" i="26"/>
  <c r="H32" i="26"/>
  <c r="I32" i="26"/>
  <c r="E32" i="26"/>
  <c r="D32" i="26"/>
  <c r="L6" i="26" l="1"/>
  <c r="K32" i="26" l="1"/>
  <c r="L27" i="26"/>
  <c r="G11" i="29"/>
  <c r="F6" i="28"/>
  <c r="F7" i="28"/>
  <c r="F5" i="28"/>
  <c r="M6" i="26" l="1"/>
  <c r="L11" i="26"/>
  <c r="L32" i="26" l="1"/>
  <c r="M27" i="26"/>
  <c r="M11" i="26" l="1"/>
  <c r="N6" i="26"/>
  <c r="M32" i="26" l="1"/>
  <c r="N27" i="26"/>
  <c r="N11" i="26" l="1"/>
  <c r="O6" i="26"/>
  <c r="N32" i="26" l="1"/>
  <c r="O27" i="26"/>
  <c r="O11" i="26" l="1"/>
  <c r="O32" i="26" l="1"/>
  <c r="H11" i="29" l="1"/>
  <c r="F15" i="29" l="1"/>
  <c r="F32" i="29" l="1"/>
  <c r="G15" i="29"/>
  <c r="H15" i="29"/>
  <c r="F34" i="29"/>
  <c r="I15" i="29"/>
  <c r="I32" i="29" l="1"/>
  <c r="G34" i="29"/>
  <c r="F4" i="29"/>
  <c r="G4" i="29" s="1"/>
  <c r="G32" i="29"/>
  <c r="H32" i="29"/>
  <c r="H4" i="29" s="1"/>
</calcChain>
</file>

<file path=xl/sharedStrings.xml><?xml version="1.0" encoding="utf-8"?>
<sst xmlns="http://schemas.openxmlformats.org/spreadsheetml/2006/main" count="243" uniqueCount="129">
  <si>
    <t>наименование статей</t>
  </si>
  <si>
    <t>2018г.</t>
  </si>
  <si>
    <t>код</t>
  </si>
  <si>
    <t>заработная плата</t>
  </si>
  <si>
    <t>начисления на з/пл</t>
  </si>
  <si>
    <t>прочие , в т.ч.</t>
  </si>
  <si>
    <t xml:space="preserve">суточные </t>
  </si>
  <si>
    <t>проезд</t>
  </si>
  <si>
    <t>связь</t>
  </si>
  <si>
    <t xml:space="preserve">содерж.имущества, </t>
  </si>
  <si>
    <t>прочие  расходы</t>
  </si>
  <si>
    <t>налоги</t>
  </si>
  <si>
    <t>основные средства</t>
  </si>
  <si>
    <t>продукты</t>
  </si>
  <si>
    <t>медикаменты</t>
  </si>
  <si>
    <t>мягкий инвентарь</t>
  </si>
  <si>
    <t>всего  хоз.расх., в т.ч.</t>
  </si>
  <si>
    <t>ГСМ</t>
  </si>
  <si>
    <t xml:space="preserve">Хоз. и канц. расходы </t>
  </si>
  <si>
    <t>всего, в т.ч.</t>
  </si>
  <si>
    <t>план фхд</t>
  </si>
  <si>
    <t>Всего по плану фхд</t>
  </si>
  <si>
    <t>в т.ч.</t>
  </si>
  <si>
    <t>проживание</t>
  </si>
  <si>
    <t>отклонение</t>
  </si>
  <si>
    <t>Главный бухгалтер</t>
  </si>
  <si>
    <t>А.И.Дзязикова</t>
  </si>
  <si>
    <t>Начальник ПЭО</t>
  </si>
  <si>
    <t>Х.А.Банхаева</t>
  </si>
  <si>
    <t>апрель</t>
  </si>
  <si>
    <t xml:space="preserve">май </t>
  </si>
  <si>
    <t>июнь</t>
  </si>
  <si>
    <t>июль</t>
  </si>
  <si>
    <t>период</t>
  </si>
  <si>
    <t>Всего</t>
  </si>
  <si>
    <t>стационар</t>
  </si>
  <si>
    <t>объем медпомощи</t>
  </si>
  <si>
    <t>расход на 1 сл.госпитал</t>
  </si>
  <si>
    <t>сумма руб</t>
  </si>
  <si>
    <t>февраль</t>
  </si>
  <si>
    <t>март</t>
  </si>
  <si>
    <t>ИТОГО</t>
  </si>
  <si>
    <t>январь</t>
  </si>
  <si>
    <t>август</t>
  </si>
  <si>
    <t>сентябрь</t>
  </si>
  <si>
    <t>октябрь</t>
  </si>
  <si>
    <t>ноябрь</t>
  </si>
  <si>
    <t>декабрь</t>
  </si>
  <si>
    <t>всего финансовых затрат руб</t>
  </si>
  <si>
    <t>предм.мед.назначения</t>
  </si>
  <si>
    <t xml:space="preserve">наименование </t>
  </si>
  <si>
    <t>План ФХД   2020</t>
  </si>
  <si>
    <t>план ФХД   2018</t>
  </si>
  <si>
    <t>план ФХД   2019</t>
  </si>
  <si>
    <t>%</t>
  </si>
  <si>
    <t>исполнение руб</t>
  </si>
  <si>
    <t>перерасход</t>
  </si>
  <si>
    <t>от    ПФХД</t>
  </si>
  <si>
    <t>от  финансирования</t>
  </si>
  <si>
    <t>расход на 1 случай госпитализации, 1 к/дн, посещение</t>
  </si>
  <si>
    <t>на 1 посещение</t>
  </si>
  <si>
    <t>дн/стационар</t>
  </si>
  <si>
    <t>амб.пол.посещ</t>
  </si>
  <si>
    <t>сумма финансир.</t>
  </si>
  <si>
    <t>в т.ч.осн.препаратов для р/стац</t>
  </si>
  <si>
    <t>для дневного стационара</t>
  </si>
  <si>
    <t>для амб.полик.обслуж</t>
  </si>
  <si>
    <t>на 1 пац/день</t>
  </si>
  <si>
    <t>восстановлен.средства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</si>
  <si>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</si>
  <si>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по финансированию</t>
  </si>
  <si>
    <t>по факту расходования</t>
  </si>
  <si>
    <t>увеличение стоимости строит.матер.</t>
  </si>
  <si>
    <t>приход</t>
  </si>
  <si>
    <t>расход</t>
  </si>
  <si>
    <t>объем медпомощи  пл</t>
  </si>
  <si>
    <t xml:space="preserve">              Анализ финансовых затрат  ГБУЗ "Назрановская районная больница" по медикаментам  за 2022г.</t>
  </si>
  <si>
    <t>остатки на 01.01.2022г</t>
  </si>
  <si>
    <t>остатки на 01.01.2023г.</t>
  </si>
  <si>
    <t>остаток на конец отч периода</t>
  </si>
  <si>
    <t>Арендная плата за пользование имуществом (за исключением земельных участков и других обособленных природных объектов</t>
  </si>
  <si>
    <t>Коммунальные услуги ( потребление воды)</t>
  </si>
  <si>
    <t>прочую закупку товаров, работ и услуг, всего</t>
  </si>
  <si>
    <t>223/247</t>
  </si>
  <si>
    <t>потребление теплоэнергии, газа</t>
  </si>
  <si>
    <t>остатки</t>
  </si>
  <si>
    <t>2022 год</t>
  </si>
  <si>
    <t>4602</t>
  </si>
  <si>
    <t>3253</t>
  </si>
  <si>
    <t>114812</t>
  </si>
  <si>
    <t>2659</t>
  </si>
  <si>
    <t>1804</t>
  </si>
  <si>
    <t>227918</t>
  </si>
  <si>
    <t>План ФХД   2021</t>
  </si>
  <si>
    <t>План ФХД   2022</t>
  </si>
  <si>
    <t>План ФХД   2023</t>
  </si>
  <si>
    <t>План ФХД   2024</t>
  </si>
  <si>
    <t>План ФХД   2025</t>
  </si>
  <si>
    <t>2018-2025гг</t>
  </si>
  <si>
    <t>Анализ финансовых затрат  ГБУЗ "Назрановская районная больница" 1 квартал 2023г</t>
  </si>
  <si>
    <t>остаток на 01.01.2023г</t>
  </si>
  <si>
    <t>ПФХД на 2023г                              3 мес</t>
  </si>
  <si>
    <t>финансирование                                      3 мес</t>
  </si>
  <si>
    <t>Расход за 2023г                           3 мес</t>
  </si>
  <si>
    <t>остаток на 01.04.2023г</t>
  </si>
  <si>
    <t>Анализ финансовых затрат  ГБУЗ "Назрановская районная больница"   1 квартал 2023г</t>
  </si>
  <si>
    <t xml:space="preserve"> </t>
  </si>
  <si>
    <t>-</t>
  </si>
  <si>
    <t>ПФХД на 2023г                             6 мес</t>
  </si>
  <si>
    <t>финансирование                                   6 мес</t>
  </si>
  <si>
    <t>Расход за 2023г                        6 мес</t>
  </si>
  <si>
    <t>остаток на 01.07.2023г</t>
  </si>
  <si>
    <t>Анализ финансовых затрат  ГБУЗ "Назрановская районная больница"   1 полугодие  2023г</t>
  </si>
  <si>
    <t>финансирование</t>
  </si>
  <si>
    <t>по данным бухгалиерии</t>
  </si>
  <si>
    <t>по данным ИАО ГБУЗ НРБ</t>
  </si>
  <si>
    <t xml:space="preserve">апрель </t>
  </si>
  <si>
    <t>май</t>
  </si>
  <si>
    <t>Итого</t>
  </si>
  <si>
    <t>по актам  (гр 6-гр 2 )</t>
  </si>
  <si>
    <t>по дан.бухг ( гр6-гр3)</t>
  </si>
  <si>
    <t>по дан.ИАО ( гр6-гр4)</t>
  </si>
  <si>
    <t>по дан.ИАО ( гр6-гр5)</t>
  </si>
  <si>
    <t>по актам сверки расчетов  АО "Макс-М"</t>
  </si>
  <si>
    <t>счет, предоставл  для статистов</t>
  </si>
  <si>
    <t>с/ф на оплату, передаваемые для экономистов</t>
  </si>
  <si>
    <t>среднемесяч.объем финансов.обеспечения затрат по ПФХД 2023</t>
  </si>
  <si>
    <t>Анализ объемов затрат фактических и плановых 2023г</t>
  </si>
  <si>
    <t>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</si>
</sst>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30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8"/>
      <color rgb="FF002060"/>
      <name val="Times New Roman"/>
      <family val="1"/>
      <charset val="204"/>
    </font>
    <font>
      <sz val="8"/>
      <color rgb="FF002060"/>
      <name val="Times New Roman"/>
      <family val="1"/>
      <charset val="204"/>
    </font>
    <font>
      <b/>
      <sz val="10"/>
      <color rgb="FF002060"/>
      <name val="Times New Roman"/>
      <family val="1"/>
      <charset val="204"/>
    </font>
    <font>
      <b/>
      <sz val="9"/>
      <color rgb="FF002060"/>
      <name val="Times New Roman"/>
      <family val="1"/>
      <charset val="204"/>
    </font>
    <font>
      <sz val="9"/>
      <color rgb="FF00206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sz val="11"/>
      <color rgb="FF00206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9"/>
      <color rgb="FFC00000"/>
      <name val="Times New Roman"/>
      <family val="1"/>
      <charset val="204"/>
    </font>
    <font>
      <sz val="9"/>
      <color rgb="FFC00000"/>
      <name val="Times New Roman"/>
      <family val="1"/>
      <charset val="204"/>
    </font>
    <font>
      <sz val="9"/>
      <color rgb="FFC00000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rgb="FF002060"/>
      <name val="Calibri"/>
      <family val="2"/>
      <charset val="204"/>
      <scheme val="minor"/>
    </font>
    <font>
      <b/>
      <sz val="9"/>
      <color rgb="FFC00000"/>
      <name val="Calibri"/>
      <family val="2"/>
      <charset val="204"/>
      <scheme val="minor"/>
    </font>
    <font>
      <sz val="9"/>
      <color rgb="FF002060"/>
      <name val="Calibri"/>
      <family val="2"/>
      <charset val="204"/>
      <scheme val="minor"/>
    </font>
    <font>
      <b/>
      <sz val="9"/>
      <color rgb="FF002060"/>
      <name val="Calibri"/>
      <family val="2"/>
      <charset val="204"/>
      <scheme val="minor"/>
    </font>
    <font>
      <sz val="11"/>
      <color rgb="FF002060"/>
      <name val="Calibri"/>
      <family val="2"/>
      <charset val="204"/>
      <scheme val="minor"/>
    </font>
    <font>
      <sz val="11"/>
      <color rgb="FF00206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4">
    <xf numFmtId="0" fontId="0" fillId="0" borderId="0" xfId="0"/>
    <xf numFmtId="43" fontId="0" fillId="0" borderId="0" xfId="0" applyNumberFormat="1"/>
    <xf numFmtId="0" fontId="2" fillId="0" borderId="0" xfId="0" applyFont="1"/>
    <xf numFmtId="2" fontId="2" fillId="0" borderId="0" xfId="0" applyNumberFormat="1" applyFont="1"/>
    <xf numFmtId="43" fontId="2" fillId="0" borderId="0" xfId="0" applyNumberFormat="1" applyFont="1"/>
    <xf numFmtId="43" fontId="1" fillId="0" borderId="0" xfId="0" applyNumberFormat="1" applyFont="1"/>
    <xf numFmtId="2" fontId="0" fillId="0" borderId="0" xfId="0" applyNumberFormat="1"/>
    <xf numFmtId="0" fontId="0" fillId="6" borderId="0" xfId="0" applyFill="1"/>
    <xf numFmtId="43" fontId="4" fillId="0" borderId="0" xfId="0" applyNumberFormat="1" applyFont="1"/>
    <xf numFmtId="0" fontId="1" fillId="0" borderId="0" xfId="0" applyFont="1"/>
    <xf numFmtId="0" fontId="5" fillId="0" borderId="0" xfId="0" applyFont="1"/>
    <xf numFmtId="0" fontId="10" fillId="0" borderId="1" xfId="0" applyFont="1" applyBorder="1"/>
    <xf numFmtId="0" fontId="10" fillId="6" borderId="1" xfId="0" applyFont="1" applyFill="1" applyBorder="1"/>
    <xf numFmtId="43" fontId="13" fillId="2" borderId="7" xfId="0" applyNumberFormat="1" applyFont="1" applyFill="1" applyBorder="1" applyAlignment="1">
      <alignment horizontal="center"/>
    </xf>
    <xf numFmtId="0" fontId="12" fillId="0" borderId="0" xfId="0" applyFont="1" applyAlignment="1"/>
    <xf numFmtId="0" fontId="12" fillId="6" borderId="0" xfId="0" applyFont="1" applyFill="1" applyAlignment="1"/>
    <xf numFmtId="0" fontId="13" fillId="0" borderId="0" xfId="0" applyFont="1"/>
    <xf numFmtId="0" fontId="13" fillId="6" borderId="0" xfId="0" applyFont="1" applyFill="1"/>
    <xf numFmtId="0" fontId="12" fillId="0" borderId="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43" fontId="12" fillId="2" borderId="7" xfId="0" applyNumberFormat="1" applyFont="1" applyFill="1" applyBorder="1" applyAlignment="1">
      <alignment horizontal="center"/>
    </xf>
    <xf numFmtId="43" fontId="12" fillId="2" borderId="7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3" fontId="12" fillId="2" borderId="1" xfId="0" applyNumberFormat="1" applyFont="1" applyFill="1" applyBorder="1" applyAlignment="1">
      <alignment horizontal="center"/>
    </xf>
    <xf numFmtId="43" fontId="12" fillId="2" borderId="2" xfId="0" applyNumberFormat="1" applyFont="1" applyFill="1" applyBorder="1" applyAlignment="1">
      <alignment horizontal="center"/>
    </xf>
    <xf numFmtId="0" fontId="9" fillId="6" borderId="1" xfId="0" applyFont="1" applyFill="1" applyBorder="1"/>
    <xf numFmtId="43" fontId="9" fillId="6" borderId="1" xfId="0" applyNumberFormat="1" applyFont="1" applyFill="1" applyBorder="1" applyAlignment="1"/>
    <xf numFmtId="0" fontId="14" fillId="0" borderId="0" xfId="0" applyFont="1"/>
    <xf numFmtId="0" fontId="10" fillId="2" borderId="9" xfId="0" applyFont="1" applyFill="1" applyBorder="1" applyAlignment="1">
      <alignment horizontal="center"/>
    </xf>
    <xf numFmtId="43" fontId="12" fillId="2" borderId="9" xfId="0" applyNumberFormat="1" applyFont="1" applyFill="1" applyBorder="1" applyAlignment="1"/>
    <xf numFmtId="0" fontId="10" fillId="0" borderId="9" xfId="0" applyFont="1" applyBorder="1" applyAlignment="1">
      <alignment horizontal="center"/>
    </xf>
    <xf numFmtId="43" fontId="13" fillId="0" borderId="9" xfId="0" applyNumberFormat="1" applyFont="1" applyBorder="1" applyAlignment="1"/>
    <xf numFmtId="43" fontId="13" fillId="0" borderId="9" xfId="0" applyNumberFormat="1" applyFont="1" applyBorder="1"/>
    <xf numFmtId="0" fontId="10" fillId="3" borderId="9" xfId="0" applyFont="1" applyFill="1" applyBorder="1" applyAlignment="1">
      <alignment horizontal="center"/>
    </xf>
    <xf numFmtId="43" fontId="13" fillId="0" borderId="9" xfId="0" applyNumberFormat="1" applyFont="1" applyBorder="1" applyAlignment="1">
      <alignment horizontal="center"/>
    </xf>
    <xf numFmtId="0" fontId="10" fillId="5" borderId="9" xfId="0" applyFont="1" applyFill="1" applyBorder="1" applyAlignment="1">
      <alignment horizontal="center"/>
    </xf>
    <xf numFmtId="43" fontId="13" fillId="5" borderId="9" xfId="0" applyNumberFormat="1" applyFont="1" applyFill="1" applyBorder="1" applyAlignment="1"/>
    <xf numFmtId="0" fontId="9" fillId="4" borderId="9" xfId="0" applyFont="1" applyFill="1" applyBorder="1" applyAlignment="1">
      <alignment horizontal="center"/>
    </xf>
    <xf numFmtId="43" fontId="12" fillId="4" borderId="9" xfId="0" applyNumberFormat="1" applyFont="1" applyFill="1" applyBorder="1" applyAlignment="1"/>
    <xf numFmtId="0" fontId="16" fillId="0" borderId="0" xfId="0" applyFont="1"/>
    <xf numFmtId="2" fontId="5" fillId="0" borderId="0" xfId="0" applyNumberFormat="1" applyFont="1"/>
    <xf numFmtId="2" fontId="16" fillId="0" borderId="0" xfId="0" applyNumberFormat="1" applyFont="1"/>
    <xf numFmtId="43" fontId="12" fillId="3" borderId="9" xfId="0" applyNumberFormat="1" applyFont="1" applyFill="1" applyBorder="1" applyAlignment="1"/>
    <xf numFmtId="43" fontId="9" fillId="5" borderId="1" xfId="0" applyNumberFormat="1" applyFont="1" applyFill="1" applyBorder="1"/>
    <xf numFmtId="43" fontId="9" fillId="6" borderId="1" xfId="0" applyNumberFormat="1" applyFont="1" applyFill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10" fillId="6" borderId="1" xfId="0" applyFont="1" applyFill="1" applyBorder="1" applyAlignment="1">
      <alignment horizontal="right"/>
    </xf>
    <xf numFmtId="43" fontId="10" fillId="6" borderId="1" xfId="0" applyNumberFormat="1" applyFont="1" applyFill="1" applyBorder="1" applyAlignment="1">
      <alignment horizontal="center"/>
    </xf>
    <xf numFmtId="43" fontId="10" fillId="5" borderId="1" xfId="0" applyNumberFormat="1" applyFont="1" applyFill="1" applyBorder="1"/>
    <xf numFmtId="43" fontId="10" fillId="6" borderId="1" xfId="0" applyNumberFormat="1" applyFont="1" applyFill="1" applyBorder="1" applyAlignment="1">
      <alignment horizontal="right"/>
    </xf>
    <xf numFmtId="43" fontId="10" fillId="0" borderId="1" xfId="0" applyNumberFormat="1" applyFont="1" applyBorder="1" applyAlignment="1">
      <alignment horizontal="center"/>
    </xf>
    <xf numFmtId="43" fontId="10" fillId="5" borderId="1" xfId="0" applyNumberFormat="1" applyFont="1" applyFill="1" applyBorder="1" applyAlignment="1">
      <alignment horizontal="center"/>
    </xf>
    <xf numFmtId="43" fontId="9" fillId="0" borderId="1" xfId="0" applyNumberFormat="1" applyFont="1" applyBorder="1" applyAlignment="1"/>
    <xf numFmtId="0" fontId="13" fillId="0" borderId="1" xfId="0" applyFont="1" applyBorder="1"/>
    <xf numFmtId="49" fontId="10" fillId="6" borderId="1" xfId="0" applyNumberFormat="1" applyFont="1" applyFill="1" applyBorder="1" applyAlignment="1">
      <alignment horizontal="right"/>
    </xf>
    <xf numFmtId="43" fontId="13" fillId="0" borderId="1" xfId="0" applyNumberFormat="1" applyFont="1" applyBorder="1" applyAlignment="1">
      <alignment horizontal="center"/>
    </xf>
    <xf numFmtId="43" fontId="13" fillId="5" borderId="1" xfId="0" applyNumberFormat="1" applyFont="1" applyFill="1" applyBorder="1"/>
    <xf numFmtId="0" fontId="2" fillId="0" borderId="0" xfId="0" applyFont="1" applyBorder="1"/>
    <xf numFmtId="0" fontId="5" fillId="0" borderId="1" xfId="0" applyFont="1" applyBorder="1"/>
    <xf numFmtId="2" fontId="10" fillId="6" borderId="1" xfId="0" applyNumberFormat="1" applyFont="1" applyFill="1" applyBorder="1" applyAlignment="1"/>
    <xf numFmtId="2" fontId="10" fillId="6" borderId="1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right"/>
    </xf>
    <xf numFmtId="43" fontId="6" fillId="6" borderId="1" xfId="0" applyNumberFormat="1" applyFont="1" applyFill="1" applyBorder="1" applyAlignment="1">
      <alignment horizontal="right"/>
    </xf>
    <xf numFmtId="43" fontId="13" fillId="5" borderId="9" xfId="0" applyNumberFormat="1" applyFont="1" applyFill="1" applyBorder="1" applyAlignment="1">
      <alignment horizontal="center"/>
    </xf>
    <xf numFmtId="43" fontId="12" fillId="4" borderId="9" xfId="0" applyNumberFormat="1" applyFont="1" applyFill="1" applyBorder="1" applyAlignment="1">
      <alignment horizontal="center"/>
    </xf>
    <xf numFmtId="43" fontId="12" fillId="2" borderId="9" xfId="0" applyNumberFormat="1" applyFont="1" applyFill="1" applyBorder="1" applyAlignment="1">
      <alignment horizontal="center"/>
    </xf>
    <xf numFmtId="43" fontId="12" fillId="3" borderId="9" xfId="0" applyNumberFormat="1" applyFont="1" applyFill="1" applyBorder="1" applyAlignment="1">
      <alignment horizontal="center"/>
    </xf>
    <xf numFmtId="43" fontId="10" fillId="0" borderId="0" xfId="0" applyNumberFormat="1" applyFont="1"/>
    <xf numFmtId="43" fontId="13" fillId="0" borderId="0" xfId="0" applyNumberFormat="1" applyFont="1"/>
    <xf numFmtId="43" fontId="12" fillId="4" borderId="12" xfId="0" applyNumberFormat="1" applyFont="1" applyFill="1" applyBorder="1" applyAlignment="1"/>
    <xf numFmtId="43" fontId="12" fillId="0" borderId="9" xfId="0" applyNumberFormat="1" applyFont="1" applyBorder="1"/>
    <xf numFmtId="0" fontId="5" fillId="6" borderId="1" xfId="0" applyFont="1" applyFill="1" applyBorder="1"/>
    <xf numFmtId="0" fontId="16" fillId="6" borderId="1" xfId="0" applyFont="1" applyFill="1" applyBorder="1"/>
    <xf numFmtId="0" fontId="16" fillId="6" borderId="0" xfId="0" applyFont="1" applyFill="1"/>
    <xf numFmtId="0" fontId="4" fillId="0" borderId="0" xfId="0" applyFont="1"/>
    <xf numFmtId="0" fontId="9" fillId="3" borderId="9" xfId="0" applyFont="1" applyFill="1" applyBorder="1" applyAlignment="1">
      <alignment horizontal="center"/>
    </xf>
    <xf numFmtId="0" fontId="9" fillId="0" borderId="9" xfId="0" applyFont="1" applyBorder="1" applyAlignment="1">
      <alignment horizontal="center"/>
    </xf>
    <xf numFmtId="43" fontId="12" fillId="0" borderId="9" xfId="0" applyNumberFormat="1" applyFont="1" applyBorder="1" applyAlignment="1"/>
    <xf numFmtId="43" fontId="12" fillId="0" borderId="9" xfId="0" applyNumberFormat="1" applyFont="1" applyBorder="1" applyAlignment="1">
      <alignment horizontal="center"/>
    </xf>
    <xf numFmtId="0" fontId="9" fillId="8" borderId="8" xfId="0" applyFont="1" applyFill="1" applyBorder="1" applyAlignment="1"/>
    <xf numFmtId="0" fontId="9" fillId="8" borderId="3" xfId="0" applyFont="1" applyFill="1" applyBorder="1" applyAlignment="1"/>
    <xf numFmtId="0" fontId="11" fillId="8" borderId="8" xfId="0" applyFont="1" applyFill="1" applyBorder="1" applyAlignment="1"/>
    <xf numFmtId="0" fontId="11" fillId="8" borderId="3" xfId="0" applyFont="1" applyFill="1" applyBorder="1" applyAlignment="1"/>
    <xf numFmtId="43" fontId="10" fillId="0" borderId="1" xfId="0" applyNumberFormat="1" applyFont="1" applyBorder="1"/>
    <xf numFmtId="43" fontId="12" fillId="0" borderId="9" xfId="0" applyNumberFormat="1" applyFont="1" applyBorder="1" applyAlignment="1">
      <alignment horizontal="right"/>
    </xf>
    <xf numFmtId="43" fontId="18" fillId="0" borderId="0" xfId="0" applyNumberFormat="1" applyFont="1"/>
    <xf numFmtId="0" fontId="17" fillId="0" borderId="0" xfId="0" applyFont="1"/>
    <xf numFmtId="0" fontId="12" fillId="5" borderId="9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/>
    </xf>
    <xf numFmtId="43" fontId="13" fillId="2" borderId="9" xfId="0" applyNumberFormat="1" applyFont="1" applyFill="1" applyBorder="1" applyAlignment="1">
      <alignment horizontal="center"/>
    </xf>
    <xf numFmtId="0" fontId="12" fillId="0" borderId="9" xfId="0" applyFont="1" applyBorder="1"/>
    <xf numFmtId="0" fontId="12" fillId="0" borderId="9" xfId="0" applyFont="1" applyBorder="1" applyAlignment="1">
      <alignment horizontal="center"/>
    </xf>
    <xf numFmtId="0" fontId="12" fillId="3" borderId="9" xfId="0" applyFont="1" applyFill="1" applyBorder="1"/>
    <xf numFmtId="0" fontId="12" fillId="3" borderId="9" xfId="0" applyFont="1" applyFill="1" applyBorder="1" applyAlignment="1">
      <alignment horizontal="center"/>
    </xf>
    <xf numFmtId="0" fontId="13" fillId="0" borderId="9" xfId="0" applyFont="1" applyBorder="1"/>
    <xf numFmtId="0" fontId="13" fillId="0" borderId="9" xfId="0" applyFont="1" applyBorder="1" applyAlignment="1">
      <alignment horizontal="center"/>
    </xf>
    <xf numFmtId="0" fontId="13" fillId="3" borderId="9" xfId="0" applyFont="1" applyFill="1" applyBorder="1"/>
    <xf numFmtId="0" fontId="13" fillId="3" borderId="9" xfId="0" applyFont="1" applyFill="1" applyBorder="1" applyAlignment="1">
      <alignment horizontal="center"/>
    </xf>
    <xf numFmtId="43" fontId="13" fillId="3" borderId="9" xfId="0" applyNumberFormat="1" applyFont="1" applyFill="1" applyBorder="1" applyAlignment="1">
      <alignment horizontal="center"/>
    </xf>
    <xf numFmtId="0" fontId="13" fillId="0" borderId="9" xfId="0" applyFont="1" applyBorder="1" applyAlignment="1">
      <alignment wrapText="1"/>
    </xf>
    <xf numFmtId="2" fontId="13" fillId="0" borderId="9" xfId="0" applyNumberFormat="1" applyFont="1" applyBorder="1" applyAlignment="1">
      <alignment wrapText="1"/>
    </xf>
    <xf numFmtId="0" fontId="13" fillId="5" borderId="9" xfId="0" applyFont="1" applyFill="1" applyBorder="1"/>
    <xf numFmtId="0" fontId="13" fillId="5" borderId="9" xfId="0" applyFont="1" applyFill="1" applyBorder="1" applyAlignment="1">
      <alignment horizontal="center"/>
    </xf>
    <xf numFmtId="0" fontId="12" fillId="4" borderId="9" xfId="0" applyFont="1" applyFill="1" applyBorder="1"/>
    <xf numFmtId="0" fontId="12" fillId="4" borderId="9" xfId="0" applyFont="1" applyFill="1" applyBorder="1" applyAlignment="1">
      <alignment horizontal="center"/>
    </xf>
    <xf numFmtId="0" fontId="12" fillId="0" borderId="9" xfId="0" applyFont="1" applyBorder="1" applyAlignment="1">
      <alignment wrapText="1"/>
    </xf>
    <xf numFmtId="0" fontId="9" fillId="0" borderId="13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left" wrapText="1"/>
    </xf>
    <xf numFmtId="2" fontId="13" fillId="0" borderId="0" xfId="0" applyNumberFormat="1" applyFont="1"/>
    <xf numFmtId="0" fontId="12" fillId="0" borderId="0" xfId="0" applyFont="1"/>
    <xf numFmtId="43" fontId="12" fillId="0" borderId="0" xfId="0" applyNumberFormat="1" applyFont="1"/>
    <xf numFmtId="43" fontId="19" fillId="0" borderId="9" xfId="0" applyNumberFormat="1" applyFont="1" applyBorder="1" applyAlignment="1"/>
    <xf numFmtId="43" fontId="20" fillId="0" borderId="9" xfId="0" applyNumberFormat="1" applyFont="1" applyBorder="1" applyAlignment="1"/>
    <xf numFmtId="43" fontId="21" fillId="0" borderId="0" xfId="0" applyNumberFormat="1" applyFont="1"/>
    <xf numFmtId="0" fontId="12" fillId="0" borderId="15" xfId="0" applyFont="1" applyFill="1" applyBorder="1" applyAlignment="1">
      <alignment horizontal="left" wrapText="1"/>
    </xf>
    <xf numFmtId="0" fontId="21" fillId="0" borderId="0" xfId="0" applyFont="1"/>
    <xf numFmtId="43" fontId="17" fillId="0" borderId="0" xfId="0" applyNumberFormat="1" applyFont="1"/>
    <xf numFmtId="0" fontId="22" fillId="0" borderId="0" xfId="0" applyFont="1"/>
    <xf numFmtId="43" fontId="22" fillId="0" borderId="0" xfId="0" applyNumberFormat="1" applyFont="1"/>
    <xf numFmtId="43" fontId="9" fillId="6" borderId="1" xfId="0" applyNumberFormat="1" applyFont="1" applyFill="1" applyBorder="1"/>
    <xf numFmtId="43" fontId="10" fillId="6" borderId="1" xfId="0" applyNumberFormat="1" applyFont="1" applyFill="1" applyBorder="1"/>
    <xf numFmtId="43" fontId="10" fillId="6" borderId="1" xfId="0" applyNumberFormat="1" applyFont="1" applyFill="1" applyBorder="1" applyAlignment="1"/>
    <xf numFmtId="43" fontId="9" fillId="0" borderId="1" xfId="0" applyNumberFormat="1" applyFont="1" applyBorder="1" applyAlignment="1">
      <alignment horizontal="right"/>
    </xf>
    <xf numFmtId="43" fontId="6" fillId="0" borderId="1" xfId="0" applyNumberFormat="1" applyFont="1" applyBorder="1"/>
    <xf numFmtId="43" fontId="7" fillId="0" borderId="1" xfId="0" applyNumberFormat="1" applyFont="1" applyBorder="1" applyAlignment="1">
      <alignment horizontal="right"/>
    </xf>
    <xf numFmtId="43" fontId="6" fillId="0" borderId="1" xfId="0" applyNumberFormat="1" applyFont="1" applyBorder="1" applyAlignment="1">
      <alignment horizontal="right"/>
    </xf>
    <xf numFmtId="43" fontId="10" fillId="0" borderId="1" xfId="0" applyNumberFormat="1" applyFont="1" applyBorder="1" applyAlignment="1">
      <alignment horizontal="right"/>
    </xf>
    <xf numFmtId="0" fontId="16" fillId="0" borderId="0" xfId="0" applyFont="1" applyBorder="1"/>
    <xf numFmtId="0" fontId="6" fillId="0" borderId="0" xfId="0" applyFont="1" applyBorder="1"/>
    <xf numFmtId="2" fontId="5" fillId="0" borderId="1" xfId="0" applyNumberFormat="1" applyFont="1" applyBorder="1"/>
    <xf numFmtId="2" fontId="8" fillId="0" borderId="1" xfId="0" applyNumberFormat="1" applyFont="1" applyBorder="1"/>
    <xf numFmtId="0" fontId="16" fillId="0" borderId="1" xfId="0" applyFont="1" applyBorder="1"/>
    <xf numFmtId="0" fontId="23" fillId="0" borderId="1" xfId="0" applyFont="1" applyBorder="1"/>
    <xf numFmtId="43" fontId="5" fillId="0" borderId="1" xfId="0" applyNumberFormat="1" applyFont="1" applyBorder="1" applyAlignment="1">
      <alignment horizontal="right"/>
    </xf>
    <xf numFmtId="43" fontId="20" fillId="0" borderId="1" xfId="0" applyNumberFormat="1" applyFont="1" applyBorder="1" applyAlignment="1">
      <alignment horizontal="right"/>
    </xf>
    <xf numFmtId="43" fontId="8" fillId="0" borderId="1" xfId="0" applyNumberFormat="1" applyFont="1" applyBorder="1" applyAlignment="1">
      <alignment horizontal="right"/>
    </xf>
    <xf numFmtId="43" fontId="5" fillId="0" borderId="0" xfId="0" applyNumberFormat="1" applyFont="1" applyAlignment="1">
      <alignment horizontal="right"/>
    </xf>
    <xf numFmtId="43" fontId="8" fillId="0" borderId="0" xfId="0" applyNumberFormat="1" applyFont="1" applyAlignment="1">
      <alignment horizontal="right"/>
    </xf>
    <xf numFmtId="0" fontId="9" fillId="5" borderId="9" xfId="0" applyFont="1" applyFill="1" applyBorder="1" applyAlignment="1">
      <alignment horizontal="center" vertical="center" wrapText="1"/>
    </xf>
    <xf numFmtId="43" fontId="6" fillId="0" borderId="0" xfId="0" applyNumberFormat="1" applyFont="1"/>
    <xf numFmtId="43" fontId="9" fillId="0" borderId="9" xfId="0" applyNumberFormat="1" applyFont="1" applyBorder="1"/>
    <xf numFmtId="43" fontId="24" fillId="0" borderId="0" xfId="0" applyNumberFormat="1" applyFont="1"/>
    <xf numFmtId="0" fontId="6" fillId="0" borderId="0" xfId="0" applyFont="1"/>
    <xf numFmtId="0" fontId="9" fillId="5" borderId="9" xfId="0" applyFont="1" applyFill="1" applyBorder="1" applyAlignment="1">
      <alignment horizontal="center" vertical="center" wrapText="1"/>
    </xf>
    <xf numFmtId="43" fontId="6" fillId="0" borderId="0" xfId="0" applyNumberFormat="1" applyFont="1" applyAlignment="1">
      <alignment horizontal="right"/>
    </xf>
    <xf numFmtId="43" fontId="1" fillId="0" borderId="3" xfId="0" applyNumberFormat="1" applyFont="1" applyBorder="1"/>
    <xf numFmtId="43" fontId="3" fillId="0" borderId="3" xfId="0" applyNumberFormat="1" applyFont="1" applyBorder="1"/>
    <xf numFmtId="43" fontId="21" fillId="0" borderId="3" xfId="0" applyNumberFormat="1" applyFont="1" applyBorder="1"/>
    <xf numFmtId="43" fontId="1" fillId="7" borderId="3" xfId="0" applyNumberFormat="1" applyFont="1" applyFill="1" applyBorder="1"/>
    <xf numFmtId="43" fontId="3" fillId="4" borderId="3" xfId="0" applyNumberFormat="1" applyFont="1" applyFill="1" applyBorder="1"/>
    <xf numFmtId="0" fontId="9" fillId="5" borderId="9" xfId="0" applyFont="1" applyFill="1" applyBorder="1" applyAlignment="1">
      <alignment vertical="center" wrapText="1"/>
    </xf>
    <xf numFmtId="43" fontId="19" fillId="3" borderId="9" xfId="0" applyNumberFormat="1" applyFont="1" applyFill="1" applyBorder="1" applyAlignment="1"/>
    <xf numFmtId="43" fontId="1" fillId="0" borderId="9" xfId="0" applyNumberFormat="1" applyFont="1" applyBorder="1"/>
    <xf numFmtId="43" fontId="3" fillId="0" borderId="9" xfId="0" applyNumberFormat="1" applyFont="1" applyBorder="1"/>
    <xf numFmtId="43" fontId="21" fillId="0" borderId="9" xfId="0" applyNumberFormat="1" applyFont="1" applyBorder="1"/>
    <xf numFmtId="43" fontId="1" fillId="7" borderId="9" xfId="0" applyNumberFormat="1" applyFont="1" applyFill="1" applyBorder="1"/>
    <xf numFmtId="43" fontId="25" fillId="0" borderId="9" xfId="0" applyNumberFormat="1" applyFont="1" applyBorder="1"/>
    <xf numFmtId="43" fontId="26" fillId="0" borderId="9" xfId="0" applyNumberFormat="1" applyFont="1" applyBorder="1"/>
    <xf numFmtId="43" fontId="27" fillId="0" borderId="9" xfId="0" applyNumberFormat="1" applyFont="1" applyBorder="1"/>
    <xf numFmtId="43" fontId="8" fillId="4" borderId="9" xfId="0" applyNumberFormat="1" applyFont="1" applyFill="1" applyBorder="1"/>
    <xf numFmtId="0" fontId="28" fillId="0" borderId="0" xfId="0" applyFont="1"/>
    <xf numFmtId="0" fontId="15" fillId="0" borderId="0" xfId="0" applyFont="1"/>
    <xf numFmtId="0" fontId="29" fillId="0" borderId="0" xfId="0" applyFont="1"/>
    <xf numFmtId="0" fontId="9" fillId="0" borderId="1" xfId="0" applyFont="1" applyBorder="1" applyAlignment="1">
      <alignment vertical="center" wrapText="1"/>
    </xf>
    <xf numFmtId="43" fontId="13" fillId="0" borderId="1" xfId="0" applyNumberFormat="1" applyFont="1" applyBorder="1"/>
    <xf numFmtId="0" fontId="12" fillId="0" borderId="1" xfId="0" applyFont="1" applyBorder="1"/>
    <xf numFmtId="43" fontId="12" fillId="0" borderId="1" xfId="0" applyNumberFormat="1" applyFont="1" applyBorder="1"/>
    <xf numFmtId="0" fontId="9" fillId="0" borderId="5" xfId="0" applyFont="1" applyBorder="1" applyAlignment="1">
      <alignment horizontal="center"/>
    </xf>
    <xf numFmtId="1" fontId="9" fillId="0" borderId="5" xfId="0" applyNumberFormat="1" applyFont="1" applyBorder="1" applyAlignment="1">
      <alignment horizontal="center" wrapText="1"/>
    </xf>
    <xf numFmtId="1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1" fillId="0" borderId="3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9" fillId="5" borderId="10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center"/>
    </xf>
    <xf numFmtId="0" fontId="12" fillId="5" borderId="9" xfId="0" applyFont="1" applyFill="1" applyBorder="1" applyAlignment="1">
      <alignment horizontal="center" vertical="center" wrapText="1"/>
    </xf>
    <xf numFmtId="43" fontId="1" fillId="7" borderId="10" xfId="0" applyNumberFormat="1" applyFont="1" applyFill="1" applyBorder="1" applyAlignment="1">
      <alignment horizontal="center"/>
    </xf>
    <xf numFmtId="43" fontId="1" fillId="7" borderId="13" xfId="0" applyNumberFormat="1" applyFont="1" applyFill="1" applyBorder="1" applyAlignment="1">
      <alignment horizontal="center"/>
    </xf>
    <xf numFmtId="43" fontId="1" fillId="7" borderId="11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8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9" fillId="8" borderId="1" xfId="0" applyFont="1" applyFill="1" applyBorder="1" applyAlignment="1">
      <alignment horizontal="center"/>
    </xf>
    <xf numFmtId="0" fontId="16" fillId="8" borderId="1" xfId="0" applyFont="1" applyFill="1" applyBorder="1" applyAlignment="1">
      <alignment horizontal="center"/>
    </xf>
    <xf numFmtId="43" fontId="11" fillId="8" borderId="2" xfId="0" applyNumberFormat="1" applyFont="1" applyFill="1" applyBorder="1" applyAlignment="1">
      <alignment horizontal="center"/>
    </xf>
    <xf numFmtId="43" fontId="11" fillId="8" borderId="8" xfId="0" applyNumberFormat="1" applyFont="1" applyFill="1" applyBorder="1" applyAlignment="1">
      <alignment horizontal="center"/>
    </xf>
    <xf numFmtId="0" fontId="11" fillId="8" borderId="2" xfId="0" applyFont="1" applyFill="1" applyBorder="1" applyAlignment="1">
      <alignment horizontal="center"/>
    </xf>
    <xf numFmtId="0" fontId="11" fillId="8" borderId="8" xfId="0" applyFont="1" applyFill="1" applyBorder="1" applyAlignment="1">
      <alignment horizontal="center"/>
    </xf>
    <xf numFmtId="43" fontId="8" fillId="0" borderId="4" xfId="0" applyNumberFormat="1" applyFont="1" applyBorder="1" applyAlignment="1">
      <alignment horizontal="center" vertical="center"/>
    </xf>
    <xf numFmtId="43" fontId="8" fillId="0" borderId="5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43" fontId="8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 wrapText="1"/>
    </xf>
    <xf numFmtId="2" fontId="9" fillId="0" borderId="5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activeCell="L15" sqref="L15"/>
    </sheetView>
  </sheetViews>
  <sheetFormatPr defaultRowHeight="15" x14ac:dyDescent="0.25"/>
  <cols>
    <col min="1" max="1" width="34.42578125" customWidth="1"/>
    <col min="2" max="2" width="7.42578125" customWidth="1"/>
    <col min="3" max="3" width="14.7109375" customWidth="1"/>
    <col min="4" max="6" width="16" customWidth="1"/>
    <col min="7" max="7" width="16.140625" customWidth="1"/>
    <col min="8" max="8" width="15.85546875" customWidth="1"/>
    <col min="9" max="9" width="14.28515625" style="1" customWidth="1"/>
    <col min="10" max="10" width="17.140625" customWidth="1"/>
    <col min="11" max="11" width="13.7109375" customWidth="1"/>
    <col min="12" max="12" width="12.140625" customWidth="1"/>
    <col min="13" max="13" width="12.28515625" customWidth="1"/>
    <col min="14" max="14" width="11.7109375" customWidth="1"/>
    <col min="15" max="15" width="12.7109375" customWidth="1"/>
    <col min="16" max="16" width="12.5703125" customWidth="1"/>
  </cols>
  <sheetData>
    <row r="1" spans="1:12" ht="14.45" customHeight="1" thickBot="1" x14ac:dyDescent="0.3">
      <c r="A1" s="173" t="s">
        <v>105</v>
      </c>
      <c r="B1" s="173"/>
      <c r="C1" s="173"/>
      <c r="D1" s="173"/>
      <c r="E1" s="173"/>
      <c r="F1" s="173"/>
      <c r="G1" s="173"/>
      <c r="H1" s="173"/>
    </row>
    <row r="2" spans="1:12" ht="15" customHeight="1" thickTop="1" thickBot="1" x14ac:dyDescent="0.3">
      <c r="A2" s="177" t="s">
        <v>0</v>
      </c>
      <c r="B2" s="177" t="s">
        <v>2</v>
      </c>
      <c r="C2" s="178" t="s">
        <v>100</v>
      </c>
      <c r="D2" s="174" t="s">
        <v>101</v>
      </c>
      <c r="E2" s="174" t="s">
        <v>102</v>
      </c>
      <c r="F2" s="174" t="s">
        <v>103</v>
      </c>
      <c r="G2" s="176" t="s">
        <v>24</v>
      </c>
      <c r="H2" s="176"/>
      <c r="I2" s="172" t="s">
        <v>85</v>
      </c>
    </row>
    <row r="3" spans="1:12" ht="15.6" customHeight="1" thickTop="1" thickBot="1" x14ac:dyDescent="0.3">
      <c r="A3" s="177"/>
      <c r="B3" s="177"/>
      <c r="C3" s="179"/>
      <c r="D3" s="175"/>
      <c r="E3" s="175"/>
      <c r="F3" s="175"/>
      <c r="G3" s="139" t="s">
        <v>57</v>
      </c>
      <c r="H3" s="151" t="s">
        <v>58</v>
      </c>
      <c r="I3" s="172"/>
    </row>
    <row r="4" spans="1:12" ht="16.5" thickTop="1" thickBot="1" x14ac:dyDescent="0.3">
      <c r="A4" s="29" t="s">
        <v>19</v>
      </c>
      <c r="B4" s="29"/>
      <c r="C4" s="66">
        <f>C32</f>
        <v>1054327.53</v>
      </c>
      <c r="D4" s="30">
        <f>D32</f>
        <v>157349945.53</v>
      </c>
      <c r="E4" s="30">
        <f>E32</f>
        <v>143509005.435</v>
      </c>
      <c r="F4" s="30">
        <f>F32</f>
        <v>112200625.45999999</v>
      </c>
      <c r="G4" s="30">
        <f>D4-F4</f>
        <v>45149320.070000008</v>
      </c>
      <c r="H4" s="30">
        <f>H32</f>
        <v>31308379.975000009</v>
      </c>
      <c r="I4" s="146"/>
      <c r="K4" s="9"/>
    </row>
    <row r="5" spans="1:12" ht="16.5" thickTop="1" thickBot="1" x14ac:dyDescent="0.3">
      <c r="A5" s="91" t="s">
        <v>3</v>
      </c>
      <c r="B5" s="31">
        <v>211</v>
      </c>
      <c r="C5" s="79">
        <v>1884152.74</v>
      </c>
      <c r="D5" s="78">
        <f>368190833.24/4</f>
        <v>92047708.310000002</v>
      </c>
      <c r="E5" s="71">
        <f>D5-C5-3000000</f>
        <v>87163555.570000008</v>
      </c>
      <c r="F5" s="71">
        <v>67195792.299999997</v>
      </c>
      <c r="G5" s="78">
        <f>D5-F5</f>
        <v>24851916.010000005</v>
      </c>
      <c r="H5" s="78">
        <f>E5-F5</f>
        <v>19967763.270000011</v>
      </c>
      <c r="I5" s="147">
        <f>C5+E5-F5</f>
        <v>21851916.010000005</v>
      </c>
      <c r="J5" s="140"/>
      <c r="K5" s="5"/>
    </row>
    <row r="6" spans="1:12" ht="16.5" thickTop="1" thickBot="1" x14ac:dyDescent="0.3">
      <c r="A6" s="93" t="s">
        <v>5</v>
      </c>
      <c r="B6" s="76">
        <v>212</v>
      </c>
      <c r="C6" s="67">
        <f>C8+C7</f>
        <v>136433</v>
      </c>
      <c r="D6" s="43">
        <f>D7+D8+D9</f>
        <v>130358</v>
      </c>
      <c r="E6" s="43">
        <f t="shared" ref="E6:F6" si="0">E7+E8+E9</f>
        <v>0</v>
      </c>
      <c r="F6" s="43">
        <f t="shared" si="0"/>
        <v>0</v>
      </c>
      <c r="G6" s="43">
        <f>C6+D6-F6</f>
        <v>266791</v>
      </c>
      <c r="H6" s="43">
        <f>C6+E6-F6</f>
        <v>136433</v>
      </c>
      <c r="I6" s="147">
        <f t="shared" ref="I6:I28" si="1">C6+E6-F6</f>
        <v>136433</v>
      </c>
      <c r="K6" s="9"/>
    </row>
    <row r="7" spans="1:12" ht="16.5" thickTop="1" thickBot="1" x14ac:dyDescent="0.3">
      <c r="A7" s="95" t="s">
        <v>6</v>
      </c>
      <c r="B7" s="31">
        <v>212</v>
      </c>
      <c r="C7" s="35">
        <v>26000</v>
      </c>
      <c r="D7" s="32">
        <f>26000/4</f>
        <v>6500</v>
      </c>
      <c r="E7" s="33">
        <v>0</v>
      </c>
      <c r="F7" s="32">
        <v>0</v>
      </c>
      <c r="G7" s="32">
        <f>C7+D7-F7</f>
        <v>32500</v>
      </c>
      <c r="H7" s="32">
        <f>C7+E7-F7</f>
        <v>26000</v>
      </c>
      <c r="I7" s="146">
        <f t="shared" si="1"/>
        <v>26000</v>
      </c>
      <c r="K7" s="5"/>
    </row>
    <row r="8" spans="1:12" ht="16.5" thickTop="1" thickBot="1" x14ac:dyDescent="0.3">
      <c r="A8" s="95" t="s">
        <v>7</v>
      </c>
      <c r="B8" s="31">
        <v>222</v>
      </c>
      <c r="C8" s="35">
        <v>110433</v>
      </c>
      <c r="D8" s="32">
        <f>215432/4</f>
        <v>53858</v>
      </c>
      <c r="E8" s="33">
        <v>0</v>
      </c>
      <c r="F8" s="32">
        <v>0</v>
      </c>
      <c r="G8" s="32">
        <f t="shared" ref="G8:G9" si="2">C8+D8-F8</f>
        <v>164291</v>
      </c>
      <c r="H8" s="32">
        <f t="shared" ref="H8:H9" si="3">C8+E8-F8</f>
        <v>110433</v>
      </c>
      <c r="I8" s="146">
        <f t="shared" si="1"/>
        <v>110433</v>
      </c>
      <c r="K8" s="9"/>
    </row>
    <row r="9" spans="1:12" ht="16.5" thickTop="1" thickBot="1" x14ac:dyDescent="0.3">
      <c r="A9" s="95" t="s">
        <v>23</v>
      </c>
      <c r="B9" s="31">
        <v>226</v>
      </c>
      <c r="C9" s="35">
        <v>0</v>
      </c>
      <c r="D9" s="32">
        <f>280000/4</f>
        <v>70000</v>
      </c>
      <c r="E9" s="33">
        <v>0</v>
      </c>
      <c r="F9" s="32">
        <v>0</v>
      </c>
      <c r="G9" s="32">
        <f t="shared" si="2"/>
        <v>70000</v>
      </c>
      <c r="H9" s="32">
        <f t="shared" si="3"/>
        <v>0</v>
      </c>
      <c r="I9" s="147">
        <f t="shared" si="1"/>
        <v>0</v>
      </c>
      <c r="K9" s="9" t="s">
        <v>69</v>
      </c>
    </row>
    <row r="10" spans="1:12" ht="16.5" thickTop="1" thickBot="1" x14ac:dyDescent="0.3">
      <c r="A10" s="91" t="s">
        <v>4</v>
      </c>
      <c r="B10" s="31">
        <v>213</v>
      </c>
      <c r="C10" s="79">
        <v>1502517.93</v>
      </c>
      <c r="D10" s="78">
        <f>111616631.64/4</f>
        <v>27904157.91</v>
      </c>
      <c r="E10" s="71">
        <f>D10-C10-500000-2000000</f>
        <v>23901639.98</v>
      </c>
      <c r="F10" s="78">
        <f>17732763.94+823.03</f>
        <v>17733586.970000003</v>
      </c>
      <c r="G10" s="78">
        <f>C10+D10-F10</f>
        <v>11673088.869999997</v>
      </c>
      <c r="H10" s="78">
        <f>C10+E10-F10</f>
        <v>7670570.9399999976</v>
      </c>
      <c r="I10" s="147">
        <f t="shared" si="1"/>
        <v>7670570.9399999976</v>
      </c>
      <c r="K10" s="5"/>
    </row>
    <row r="11" spans="1:12" ht="16.5" thickTop="1" thickBot="1" x14ac:dyDescent="0.3">
      <c r="A11" s="93" t="s">
        <v>11</v>
      </c>
      <c r="B11" s="34">
        <v>290</v>
      </c>
      <c r="C11" s="67">
        <f>C13</f>
        <v>76167.899999999994</v>
      </c>
      <c r="D11" s="43">
        <f>D12+D13++D14</f>
        <v>5137841.4249999998</v>
      </c>
      <c r="E11" s="43">
        <f>C11</f>
        <v>76167.899999999994</v>
      </c>
      <c r="F11" s="43">
        <f>F12+F13+F14</f>
        <v>7675.21</v>
      </c>
      <c r="G11" s="43">
        <f>D11-F11</f>
        <v>5130166.2149999999</v>
      </c>
      <c r="H11" s="43">
        <f>E11-F11</f>
        <v>68492.689999999988</v>
      </c>
      <c r="I11" s="147">
        <f t="shared" si="1"/>
        <v>144660.59</v>
      </c>
      <c r="K11" s="5"/>
      <c r="L11" s="28"/>
    </row>
    <row r="12" spans="1:12" ht="16.5" thickTop="1" thickBot="1" x14ac:dyDescent="0.3">
      <c r="A12" s="100" t="s">
        <v>22</v>
      </c>
      <c r="B12" s="31">
        <v>851</v>
      </c>
      <c r="C12" s="35">
        <v>0</v>
      </c>
      <c r="D12" s="32">
        <f>20039175.07/4</f>
        <v>5009793.7675000001</v>
      </c>
      <c r="E12" s="33">
        <f>D12</f>
        <v>5009793.7675000001</v>
      </c>
      <c r="F12" s="32"/>
      <c r="G12" s="32">
        <f>C12+D12-F12</f>
        <v>5009793.7675000001</v>
      </c>
      <c r="H12" s="32">
        <f>C12+E12-F12</f>
        <v>5009793.7675000001</v>
      </c>
      <c r="I12" s="147">
        <f>C12+E12-F12</f>
        <v>5009793.7675000001</v>
      </c>
      <c r="K12" s="5"/>
    </row>
    <row r="13" spans="1:12" ht="16.5" thickTop="1" thickBot="1" x14ac:dyDescent="0.3">
      <c r="A13" s="100"/>
      <c r="B13" s="31">
        <v>852</v>
      </c>
      <c r="C13" s="35">
        <v>76167.899999999994</v>
      </c>
      <c r="D13" s="33">
        <f>92038/4</f>
        <v>23009.5</v>
      </c>
      <c r="E13" s="33">
        <v>6500</v>
      </c>
      <c r="F13" s="32">
        <v>6500</v>
      </c>
      <c r="G13" s="32">
        <f t="shared" ref="G13:G14" si="4">C13+D13-F13</f>
        <v>92677.4</v>
      </c>
      <c r="H13" s="32">
        <f t="shared" ref="H13:H14" si="5">C13+E13-F13</f>
        <v>76167.899999999994</v>
      </c>
      <c r="I13" s="146">
        <f t="shared" si="1"/>
        <v>76167.899999999994</v>
      </c>
      <c r="K13" s="5"/>
    </row>
    <row r="14" spans="1:12" ht="16.5" thickTop="1" thickBot="1" x14ac:dyDescent="0.3">
      <c r="A14" s="100"/>
      <c r="B14" s="31">
        <v>853</v>
      </c>
      <c r="C14" s="35">
        <v>0</v>
      </c>
      <c r="D14" s="32">
        <f>420152.63/4</f>
        <v>105038.1575</v>
      </c>
      <c r="E14" s="33">
        <v>1175.21</v>
      </c>
      <c r="F14" s="32">
        <v>1175.21</v>
      </c>
      <c r="G14" s="32">
        <f t="shared" si="4"/>
        <v>103862.94749999999</v>
      </c>
      <c r="H14" s="32">
        <f t="shared" si="5"/>
        <v>0</v>
      </c>
      <c r="I14" s="146">
        <f t="shared" si="1"/>
        <v>0</v>
      </c>
      <c r="K14" s="5"/>
    </row>
    <row r="15" spans="1:12" ht="30.6" customHeight="1" thickTop="1" thickBot="1" x14ac:dyDescent="0.3">
      <c r="A15" s="115" t="s">
        <v>82</v>
      </c>
      <c r="B15" s="77">
        <v>310</v>
      </c>
      <c r="C15" s="79">
        <v>0</v>
      </c>
      <c r="D15" s="85">
        <f>D16+D17+D18+D19+D20+D21</f>
        <v>8803570.2650000006</v>
      </c>
      <c r="E15" s="85">
        <f>D15</f>
        <v>8803570.2650000006</v>
      </c>
      <c r="F15" s="85">
        <f>F16+F17+F18+F19+F20+F21</f>
        <v>8465242.0099999998</v>
      </c>
      <c r="G15" s="112">
        <f>C15+D15-F15</f>
        <v>338328.25500000082</v>
      </c>
      <c r="H15" s="78">
        <f>C15+E15-F15</f>
        <v>338328.25500000082</v>
      </c>
      <c r="I15" s="147">
        <f t="shared" si="1"/>
        <v>338328.25500000082</v>
      </c>
    </row>
    <row r="16" spans="1:12" ht="16.5" thickTop="1" thickBot="1" x14ac:dyDescent="0.3">
      <c r="A16" s="100" t="s">
        <v>8</v>
      </c>
      <c r="B16" s="31">
        <v>221</v>
      </c>
      <c r="C16" s="35">
        <v>0</v>
      </c>
      <c r="D16" s="69">
        <f>816880/4</f>
        <v>204220</v>
      </c>
      <c r="E16" s="33">
        <f>D16</f>
        <v>204220</v>
      </c>
      <c r="F16" s="35">
        <v>83971</v>
      </c>
      <c r="G16" s="32">
        <f>C16+D16-F16</f>
        <v>120249</v>
      </c>
      <c r="H16" s="32">
        <f>C16+E16-F16</f>
        <v>120249</v>
      </c>
      <c r="I16" s="146">
        <f t="shared" si="1"/>
        <v>120249</v>
      </c>
    </row>
    <row r="17" spans="1:11" ht="20.45" customHeight="1" thickTop="1" thickBot="1" x14ac:dyDescent="0.3">
      <c r="A17" s="100" t="s">
        <v>81</v>
      </c>
      <c r="B17" s="31">
        <v>223</v>
      </c>
      <c r="C17" s="35">
        <v>352511.76</v>
      </c>
      <c r="D17" s="32">
        <f>2524494.16/4</f>
        <v>631123.54</v>
      </c>
      <c r="E17" s="33">
        <f>D17</f>
        <v>631123.54</v>
      </c>
      <c r="F17" s="32">
        <f>345826</f>
        <v>345826</v>
      </c>
      <c r="G17" s="32">
        <f t="shared" ref="G17:G19" si="6">C17+D17-F17</f>
        <v>637809.30000000005</v>
      </c>
      <c r="H17" s="32">
        <f t="shared" ref="H17:H19" si="7">C17+E17-F17</f>
        <v>637809.30000000005</v>
      </c>
      <c r="I17" s="146">
        <f t="shared" si="1"/>
        <v>637809.30000000005</v>
      </c>
    </row>
    <row r="18" spans="1:11" ht="20.45" customHeight="1" thickTop="1" thickBot="1" x14ac:dyDescent="0.3">
      <c r="A18" s="100" t="s">
        <v>84</v>
      </c>
      <c r="B18" s="31" t="s">
        <v>83</v>
      </c>
      <c r="C18" s="35">
        <v>0</v>
      </c>
      <c r="D18" s="32">
        <f>10684132.58/4</f>
        <v>2671033.145</v>
      </c>
      <c r="E18" s="33">
        <v>4033906.97</v>
      </c>
      <c r="F18" s="32">
        <f>4033906.97</f>
        <v>4033906.97</v>
      </c>
      <c r="G18" s="113">
        <f t="shared" si="6"/>
        <v>-1362873.8250000002</v>
      </c>
      <c r="H18" s="32">
        <f t="shared" si="7"/>
        <v>0</v>
      </c>
      <c r="I18" s="146">
        <f t="shared" si="1"/>
        <v>0</v>
      </c>
    </row>
    <row r="19" spans="1:11" ht="40.9" customHeight="1" thickTop="1" thickBot="1" x14ac:dyDescent="0.3">
      <c r="A19" s="101" t="s">
        <v>80</v>
      </c>
      <c r="B19" s="31">
        <v>224</v>
      </c>
      <c r="C19" s="35">
        <v>0</v>
      </c>
      <c r="D19" s="32">
        <f>4320000/4</f>
        <v>1080000</v>
      </c>
      <c r="E19" s="33">
        <f>D19</f>
        <v>1080000</v>
      </c>
      <c r="F19" s="32">
        <v>710900</v>
      </c>
      <c r="G19" s="32">
        <f t="shared" si="6"/>
        <v>369100</v>
      </c>
      <c r="H19" s="32">
        <f t="shared" si="7"/>
        <v>369100</v>
      </c>
      <c r="I19" s="146">
        <f t="shared" si="1"/>
        <v>369100</v>
      </c>
    </row>
    <row r="20" spans="1:11" ht="16.5" thickTop="1" thickBot="1" x14ac:dyDescent="0.3">
      <c r="A20" s="100" t="s">
        <v>9</v>
      </c>
      <c r="B20" s="31">
        <v>225</v>
      </c>
      <c r="C20" s="35">
        <v>0</v>
      </c>
      <c r="D20" s="32">
        <f>7489048.96/4</f>
        <v>1872262.24</v>
      </c>
      <c r="E20" s="33">
        <f>F20</f>
        <v>881647.35</v>
      </c>
      <c r="F20" s="32">
        <v>881647.35</v>
      </c>
      <c r="G20" s="32">
        <f>C20+D20-F20</f>
        <v>990614.89</v>
      </c>
      <c r="H20" s="32">
        <f t="shared" ref="H20:H21" si="8">C20+E20-F20</f>
        <v>0</v>
      </c>
      <c r="I20" s="146">
        <f t="shared" si="1"/>
        <v>0</v>
      </c>
    </row>
    <row r="21" spans="1:11" ht="16.5" thickTop="1" thickBot="1" x14ac:dyDescent="0.3">
      <c r="A21" s="100" t="s">
        <v>10</v>
      </c>
      <c r="B21" s="31">
        <v>226</v>
      </c>
      <c r="C21" s="35">
        <v>0</v>
      </c>
      <c r="D21" s="32">
        <f>9379725.36/4</f>
        <v>2344931.34</v>
      </c>
      <c r="E21" s="33">
        <f>F21</f>
        <v>2408990.69</v>
      </c>
      <c r="F21" s="32">
        <f>2383174.1+25816.59</f>
        <v>2408990.69</v>
      </c>
      <c r="G21" s="113">
        <f t="shared" ref="G21" si="9">C21+D21-F21</f>
        <v>-64059.350000000093</v>
      </c>
      <c r="H21" s="32">
        <f t="shared" si="8"/>
        <v>0</v>
      </c>
      <c r="I21" s="146">
        <f t="shared" si="1"/>
        <v>0</v>
      </c>
    </row>
    <row r="22" spans="1:11" s="87" customFormat="1" ht="16.5" thickTop="1" thickBot="1" x14ac:dyDescent="0.3">
      <c r="A22" s="106" t="s">
        <v>12</v>
      </c>
      <c r="B22" s="107">
        <v>310</v>
      </c>
      <c r="C22" s="79">
        <v>865440.48</v>
      </c>
      <c r="D22" s="78">
        <f>2492485/4</f>
        <v>623121.25</v>
      </c>
      <c r="E22" s="71"/>
      <c r="F22" s="78">
        <v>533100</v>
      </c>
      <c r="G22" s="112">
        <f>C22+D22-F22</f>
        <v>955461.73</v>
      </c>
      <c r="H22" s="112">
        <f>C22+E22-F22</f>
        <v>332340.47999999998</v>
      </c>
      <c r="I22" s="147">
        <f t="shared" si="1"/>
        <v>332340.47999999998</v>
      </c>
      <c r="J22" s="117"/>
    </row>
    <row r="23" spans="1:11" ht="16.5" thickTop="1" thickBot="1" x14ac:dyDescent="0.3">
      <c r="A23" s="98" t="s">
        <v>16</v>
      </c>
      <c r="B23" s="34">
        <v>340</v>
      </c>
      <c r="C23" s="67">
        <f>C24+C25+C26</f>
        <v>5023409.67</v>
      </c>
      <c r="D23" s="43">
        <f>D24+D25+D28+D26+D29+D27</f>
        <v>22703188.370000001</v>
      </c>
      <c r="E23" s="43">
        <f>E24+E25+E28+E26+E29+E27</f>
        <v>23564071.720000003</v>
      </c>
      <c r="F23" s="43">
        <f>F24+F25+F28+F26+F29</f>
        <v>18265228.969999999</v>
      </c>
      <c r="G23" s="43">
        <f>G24+G25+G28+G26+G29</f>
        <v>9461369.0700000003</v>
      </c>
      <c r="H23" s="152">
        <f>H25+H26</f>
        <v>-79422.270000000019</v>
      </c>
      <c r="I23" s="147">
        <f t="shared" si="1"/>
        <v>10322252.420000002</v>
      </c>
      <c r="J23" s="1"/>
    </row>
    <row r="24" spans="1:11" ht="16.5" thickTop="1" thickBot="1" x14ac:dyDescent="0.3">
      <c r="A24" s="95" t="s">
        <v>14</v>
      </c>
      <c r="B24" s="31">
        <v>341</v>
      </c>
      <c r="C24" s="35">
        <v>4000000</v>
      </c>
      <c r="D24" s="32">
        <f>80424800/4</f>
        <v>20106200</v>
      </c>
      <c r="E24" s="33">
        <f>18256655.48+500000+3000000+2000000-192583.75-2596988.38</f>
        <v>20967083.350000001</v>
      </c>
      <c r="F24" s="32">
        <v>13841058.66</v>
      </c>
      <c r="G24" s="32">
        <f>C24+D24-F24</f>
        <v>10265141.34</v>
      </c>
      <c r="H24" s="32">
        <f>C24+E24-F24</f>
        <v>11126024.690000001</v>
      </c>
      <c r="I24" s="146">
        <f t="shared" si="1"/>
        <v>11126024.690000001</v>
      </c>
      <c r="J24" s="1"/>
    </row>
    <row r="25" spans="1:11" ht="16.5" thickTop="1" thickBot="1" x14ac:dyDescent="0.3">
      <c r="A25" s="95" t="s">
        <v>13</v>
      </c>
      <c r="B25" s="31">
        <v>342</v>
      </c>
      <c r="C25" s="35">
        <v>1023409.67</v>
      </c>
      <c r="D25" s="32">
        <f>3367198.48/4</f>
        <v>841799.62</v>
      </c>
      <c r="E25" s="33">
        <f>D25</f>
        <v>841799.62</v>
      </c>
      <c r="F25" s="32">
        <v>1742070.31</v>
      </c>
      <c r="G25" s="32">
        <f t="shared" ref="G25:G29" si="10">C25+D25-F25</f>
        <v>123138.97999999998</v>
      </c>
      <c r="H25" s="32">
        <f t="shared" ref="H25:H29" si="11">C25+E25-F25</f>
        <v>123138.97999999998</v>
      </c>
      <c r="I25" s="146">
        <f t="shared" si="1"/>
        <v>123138.97999999998</v>
      </c>
      <c r="J25" s="1"/>
    </row>
    <row r="26" spans="1:11" ht="16.5" thickTop="1" thickBot="1" x14ac:dyDescent="0.3">
      <c r="A26" s="95" t="s">
        <v>17</v>
      </c>
      <c r="B26" s="31">
        <v>343</v>
      </c>
      <c r="C26" s="35">
        <v>0</v>
      </c>
      <c r="D26" s="32">
        <f>4011755/4</f>
        <v>1002938.75</v>
      </c>
      <c r="E26" s="33">
        <f>D26</f>
        <v>1002938.75</v>
      </c>
      <c r="F26" s="32">
        <v>1205500</v>
      </c>
      <c r="G26" s="113">
        <f t="shared" si="10"/>
        <v>-202561.25</v>
      </c>
      <c r="H26" s="113">
        <f>C26+E26-F26</f>
        <v>-202561.25</v>
      </c>
      <c r="I26" s="148">
        <f t="shared" si="1"/>
        <v>-202561.25</v>
      </c>
      <c r="J26" s="1"/>
    </row>
    <row r="27" spans="1:11" ht="16.5" thickTop="1" thickBot="1" x14ac:dyDescent="0.3">
      <c r="A27" s="95" t="s">
        <v>72</v>
      </c>
      <c r="B27" s="31">
        <v>344</v>
      </c>
      <c r="C27" s="35">
        <v>0</v>
      </c>
      <c r="D27" s="32"/>
      <c r="E27" s="33"/>
      <c r="F27" s="32"/>
      <c r="G27" s="113">
        <f t="shared" si="10"/>
        <v>0</v>
      </c>
      <c r="H27" s="113">
        <f t="shared" si="11"/>
        <v>0</v>
      </c>
      <c r="I27" s="148">
        <f t="shared" si="1"/>
        <v>0</v>
      </c>
      <c r="J27" s="1"/>
    </row>
    <row r="28" spans="1:11" ht="16.5" thickTop="1" thickBot="1" x14ac:dyDescent="0.3">
      <c r="A28" s="95" t="s">
        <v>15</v>
      </c>
      <c r="B28" s="31">
        <v>345</v>
      </c>
      <c r="C28" s="35">
        <v>0</v>
      </c>
      <c r="D28" s="32">
        <v>0</v>
      </c>
      <c r="E28" s="33">
        <f>D28</f>
        <v>0</v>
      </c>
      <c r="F28" s="32">
        <v>580000</v>
      </c>
      <c r="G28" s="113">
        <f t="shared" si="10"/>
        <v>-580000</v>
      </c>
      <c r="H28" s="113">
        <f t="shared" si="11"/>
        <v>-580000</v>
      </c>
      <c r="I28" s="148">
        <f t="shared" si="1"/>
        <v>-580000</v>
      </c>
      <c r="J28" s="1"/>
      <c r="K28" s="5"/>
    </row>
    <row r="29" spans="1:11" ht="16.5" thickTop="1" thickBot="1" x14ac:dyDescent="0.3">
      <c r="A29" s="95" t="s">
        <v>18</v>
      </c>
      <c r="B29" s="31">
        <v>346</v>
      </c>
      <c r="C29" s="35">
        <v>0</v>
      </c>
      <c r="D29" s="32">
        <f>3009000/4</f>
        <v>752250</v>
      </c>
      <c r="E29" s="33">
        <f>D29</f>
        <v>752250</v>
      </c>
      <c r="F29" s="32">
        <v>896600</v>
      </c>
      <c r="G29" s="113">
        <f t="shared" si="10"/>
        <v>-144350</v>
      </c>
      <c r="H29" s="113">
        <f t="shared" si="11"/>
        <v>-144350</v>
      </c>
      <c r="I29" s="148">
        <f>C29+E29-F29</f>
        <v>-144350</v>
      </c>
      <c r="J29" s="1"/>
      <c r="K29" s="5"/>
    </row>
    <row r="30" spans="1:11" ht="15.6" customHeight="1" thickTop="1" thickBot="1" x14ac:dyDescent="0.3">
      <c r="A30" s="95" t="s">
        <v>68</v>
      </c>
      <c r="C30" s="95">
        <v>1368562.01</v>
      </c>
      <c r="D30" s="32"/>
      <c r="E30" s="33"/>
      <c r="F30" s="32">
        <v>192583.75</v>
      </c>
      <c r="G30" s="32"/>
      <c r="H30" s="32"/>
      <c r="I30" s="147">
        <f>C30+E30-F30</f>
        <v>1175978.26</v>
      </c>
      <c r="J30" s="1"/>
      <c r="K30" s="5"/>
    </row>
    <row r="31" spans="1:11" ht="6" customHeight="1" thickTop="1" thickBot="1" x14ac:dyDescent="0.3">
      <c r="A31" s="102"/>
      <c r="B31" s="36"/>
      <c r="C31" s="64"/>
      <c r="D31" s="37"/>
      <c r="E31" s="37"/>
      <c r="F31" s="37"/>
      <c r="G31" s="37"/>
      <c r="H31" s="37"/>
      <c r="I31" s="149"/>
      <c r="J31" s="6"/>
      <c r="K31" s="5"/>
    </row>
    <row r="32" spans="1:11" ht="16.5" thickTop="1" thickBot="1" x14ac:dyDescent="0.3">
      <c r="A32" s="104" t="s">
        <v>21</v>
      </c>
      <c r="B32" s="38"/>
      <c r="C32" s="65">
        <v>1054327.53</v>
      </c>
      <c r="D32" s="39">
        <f>D23+D22+D15+D11+D10+D6+D5</f>
        <v>157349945.53</v>
      </c>
      <c r="E32" s="39">
        <f>E23+E22+E15+E11+E10+E6+E5</f>
        <v>143509005.435</v>
      </c>
      <c r="F32" s="70">
        <f>F5+F10+F11+F15+F23+F22</f>
        <v>112200625.45999999</v>
      </c>
      <c r="G32" s="39">
        <f>D32-F32</f>
        <v>45149320.070000008</v>
      </c>
      <c r="H32" s="39">
        <f>E32-F32</f>
        <v>31308379.975000009</v>
      </c>
      <c r="I32" s="150">
        <f>C32+E32-F32+F30</f>
        <v>32555291.25500001</v>
      </c>
      <c r="J32" s="1"/>
      <c r="K32" s="5"/>
    </row>
    <row r="33" spans="1:10" s="140" customFormat="1" ht="12.75" thickTop="1" thickBot="1" x14ac:dyDescent="0.25">
      <c r="C33" s="140">
        <v>1402463.1</v>
      </c>
      <c r="D33" s="140">
        <f>629399782.12/4</f>
        <v>157349945.53</v>
      </c>
      <c r="E33" s="140">
        <v>143509005.44</v>
      </c>
      <c r="F33" s="68">
        <v>112200625.45999999</v>
      </c>
      <c r="G33" s="141">
        <f>'анализ 1 кварт-2023'!D32</f>
        <v>1054327.53</v>
      </c>
      <c r="H33" s="141" t="s">
        <v>100</v>
      </c>
    </row>
    <row r="34" spans="1:10" s="143" customFormat="1" ht="12.75" thickTop="1" thickBot="1" x14ac:dyDescent="0.25">
      <c r="C34" s="140">
        <f>C32-C33</f>
        <v>-348135.57000000007</v>
      </c>
      <c r="D34" s="140">
        <f>D32-D33</f>
        <v>0</v>
      </c>
      <c r="E34" s="145" t="s">
        <v>107</v>
      </c>
      <c r="F34" s="140">
        <f>F32-F33</f>
        <v>0</v>
      </c>
      <c r="G34" s="141">
        <f>E32+G33-F32+F30</f>
        <v>32555291.25500001</v>
      </c>
      <c r="H34" s="141" t="s">
        <v>104</v>
      </c>
      <c r="I34" s="140"/>
      <c r="J34" s="140"/>
    </row>
    <row r="35" spans="1:10" s="2" customFormat="1" ht="12" thickTop="1" x14ac:dyDescent="0.2">
      <c r="F35" s="68"/>
      <c r="G35" s="68"/>
      <c r="H35" s="142"/>
      <c r="I35" s="4"/>
    </row>
    <row r="36" spans="1:10" s="2" customFormat="1" ht="11.25" x14ac:dyDescent="0.2">
      <c r="G36" s="4"/>
      <c r="I36" s="4"/>
    </row>
    <row r="37" spans="1:10" x14ac:dyDescent="0.25">
      <c r="A37" s="118" t="s">
        <v>25</v>
      </c>
      <c r="B37" s="118"/>
      <c r="C37" s="118"/>
      <c r="D37" s="118"/>
      <c r="E37" s="119" t="s">
        <v>26</v>
      </c>
      <c r="G37" s="4"/>
    </row>
    <row r="38" spans="1:10" x14ac:dyDescent="0.25">
      <c r="A38" s="118" t="s">
        <v>27</v>
      </c>
      <c r="B38" s="118"/>
      <c r="C38" s="118"/>
      <c r="D38" s="118"/>
      <c r="E38" s="118" t="s">
        <v>28</v>
      </c>
      <c r="G38" s="4"/>
    </row>
    <row r="39" spans="1:10" x14ac:dyDescent="0.25">
      <c r="G39" s="4"/>
    </row>
    <row r="40" spans="1:10" x14ac:dyDescent="0.25">
      <c r="A40" s="40"/>
      <c r="B40" s="40"/>
      <c r="C40" s="40"/>
      <c r="D40" s="40"/>
      <c r="E40" s="40"/>
      <c r="G40" s="2"/>
    </row>
    <row r="41" spans="1:10" x14ac:dyDescent="0.25">
      <c r="A41" s="40"/>
      <c r="B41" s="40"/>
      <c r="C41" s="40"/>
      <c r="D41" s="40"/>
      <c r="E41" s="40"/>
      <c r="F41" s="40"/>
      <c r="G41" s="40"/>
    </row>
    <row r="43" spans="1:10" x14ac:dyDescent="0.25">
      <c r="F43" s="41"/>
      <c r="G43" s="42"/>
    </row>
    <row r="44" spans="1:10" x14ac:dyDescent="0.25">
      <c r="F44" s="41"/>
      <c r="G44" s="41"/>
    </row>
    <row r="45" spans="1:10" x14ac:dyDescent="0.25">
      <c r="F45" s="41"/>
      <c r="G45" s="41"/>
    </row>
    <row r="46" spans="1:10" x14ac:dyDescent="0.25">
      <c r="F46" s="41"/>
      <c r="G46" s="41"/>
    </row>
    <row r="47" spans="1:10" x14ac:dyDescent="0.25">
      <c r="F47" s="40"/>
      <c r="G47" s="40"/>
    </row>
    <row r="49" spans="10:10" x14ac:dyDescent="0.25">
      <c r="J49" t="s">
        <v>106</v>
      </c>
    </row>
  </sheetData>
  <mergeCells count="9">
    <mergeCell ref="I2:I3"/>
    <mergeCell ref="A1:H1"/>
    <mergeCell ref="F2:F3"/>
    <mergeCell ref="G2:H2"/>
    <mergeCell ref="A2:A3"/>
    <mergeCell ref="B2:B3"/>
    <mergeCell ref="D2:D3"/>
    <mergeCell ref="E2:E3"/>
    <mergeCell ref="C2:C3"/>
  </mergeCells>
  <pageMargins left="0.51181102362204722" right="0" top="0" bottom="0" header="0.19685039370078741" footer="0.19685039370078741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zoomScaleNormal="100" workbookViewId="0">
      <selection activeCell="J30" sqref="J30"/>
    </sheetView>
  </sheetViews>
  <sheetFormatPr defaultRowHeight="15" x14ac:dyDescent="0.25"/>
  <cols>
    <col min="1" max="1" width="32.42578125" style="16" customWidth="1"/>
    <col min="2" max="2" width="7.42578125" style="16" customWidth="1"/>
    <col min="3" max="3" width="0.28515625" style="16" hidden="1" customWidth="1"/>
    <col min="4" max="4" width="15.28515625" style="16" customWidth="1"/>
    <col min="5" max="5" width="14.5703125" style="69" customWidth="1"/>
    <col min="6" max="7" width="15.28515625" style="16" customWidth="1"/>
    <col min="8" max="8" width="15.5703125" style="16" customWidth="1"/>
    <col min="9" max="9" width="17.85546875" style="116" customWidth="1"/>
    <col min="10" max="10" width="17" customWidth="1"/>
    <col min="11" max="11" width="17.28515625" customWidth="1"/>
  </cols>
  <sheetData>
    <row r="1" spans="1:11" ht="15.75" thickBot="1" x14ac:dyDescent="0.3">
      <c r="A1" s="180" t="s">
        <v>99</v>
      </c>
      <c r="B1" s="180"/>
      <c r="C1" s="180"/>
      <c r="D1" s="180"/>
      <c r="E1" s="180"/>
      <c r="F1" s="180"/>
      <c r="G1" s="180"/>
      <c r="H1" s="180"/>
    </row>
    <row r="2" spans="1:11" ht="13.15" customHeight="1" thickTop="1" thickBot="1" x14ac:dyDescent="0.3">
      <c r="A2" s="181" t="s">
        <v>0</v>
      </c>
      <c r="B2" s="181" t="s">
        <v>2</v>
      </c>
      <c r="C2" s="88" t="s">
        <v>20</v>
      </c>
      <c r="D2" s="178" t="s">
        <v>100</v>
      </c>
      <c r="E2" s="174" t="s">
        <v>101</v>
      </c>
      <c r="F2" s="174" t="s">
        <v>102</v>
      </c>
      <c r="G2" s="174" t="s">
        <v>103</v>
      </c>
      <c r="H2" s="178" t="s">
        <v>79</v>
      </c>
    </row>
    <row r="3" spans="1:11" ht="12.6" customHeight="1" thickTop="1" thickBot="1" x14ac:dyDescent="0.3">
      <c r="A3" s="181"/>
      <c r="B3" s="181"/>
      <c r="C3" s="88" t="s">
        <v>1</v>
      </c>
      <c r="D3" s="179"/>
      <c r="E3" s="175"/>
      <c r="F3" s="175"/>
      <c r="G3" s="175"/>
      <c r="H3" s="179"/>
    </row>
    <row r="4" spans="1:11" ht="16.5" thickTop="1" thickBot="1" x14ac:dyDescent="0.3">
      <c r="A4" s="89" t="s">
        <v>19</v>
      </c>
      <c r="B4" s="89"/>
      <c r="C4" s="90">
        <f>C5+C6+C10+C16+C18+C20+C21+C11</f>
        <v>386344573.73363996</v>
      </c>
      <c r="D4" s="66">
        <f>D32</f>
        <v>1054327.53</v>
      </c>
      <c r="E4" s="30">
        <f>E32</f>
        <v>157349945.53</v>
      </c>
      <c r="F4" s="30">
        <f>F32</f>
        <v>148494511.06</v>
      </c>
      <c r="G4" s="30">
        <f>G32</f>
        <v>116200625.45999999</v>
      </c>
      <c r="H4" s="30"/>
      <c r="I4" s="114"/>
      <c r="J4" s="75"/>
    </row>
    <row r="5" spans="1:11" s="87" customFormat="1" ht="16.5" thickTop="1" thickBot="1" x14ac:dyDescent="0.3">
      <c r="A5" s="91" t="s">
        <v>3</v>
      </c>
      <c r="B5" s="92">
        <v>211</v>
      </c>
      <c r="C5" s="79">
        <v>264237258.81999999</v>
      </c>
      <c r="D5" s="79">
        <v>1884152.74</v>
      </c>
      <c r="E5" s="78">
        <f>368190833.24/4</f>
        <v>92047708.310000002</v>
      </c>
      <c r="F5" s="71">
        <f>E5-D5-3000000</f>
        <v>87163555.570000008</v>
      </c>
      <c r="G5" s="71">
        <v>67195792.299999997</v>
      </c>
      <c r="H5" s="78">
        <f>D5+F5-G5</f>
        <v>21851916.010000005</v>
      </c>
      <c r="I5" s="114">
        <f>'анализ 1 кварт 2023'!I5</f>
        <v>21851916.010000005</v>
      </c>
      <c r="J5" s="86"/>
    </row>
    <row r="6" spans="1:11" ht="16.5" thickTop="1" thickBot="1" x14ac:dyDescent="0.3">
      <c r="A6" s="93" t="s">
        <v>5</v>
      </c>
      <c r="B6" s="94">
        <v>212</v>
      </c>
      <c r="C6" s="67">
        <f>C7+C8</f>
        <v>250000</v>
      </c>
      <c r="D6" s="67">
        <f>D8+D7</f>
        <v>136433</v>
      </c>
      <c r="E6" s="43">
        <f>E7+E8+E9</f>
        <v>130358</v>
      </c>
      <c r="F6" s="43">
        <f t="shared" ref="F6" si="0">F7+F8+F9</f>
        <v>0</v>
      </c>
      <c r="G6" s="43">
        <f t="shared" ref="G6" si="1">G7+G8+G9</f>
        <v>0</v>
      </c>
      <c r="H6" s="78">
        <f t="shared" ref="H6:H10" si="2">D6+F6-G6</f>
        <v>136433</v>
      </c>
      <c r="I6" s="114">
        <f>'анализ 1 кварт 2023'!I6</f>
        <v>136433</v>
      </c>
      <c r="J6" s="8"/>
    </row>
    <row r="7" spans="1:11" ht="16.5" thickTop="1" thickBot="1" x14ac:dyDescent="0.3">
      <c r="A7" s="95" t="s">
        <v>6</v>
      </c>
      <c r="B7" s="96">
        <v>212</v>
      </c>
      <c r="C7" s="35">
        <v>90000</v>
      </c>
      <c r="D7" s="35">
        <v>26000</v>
      </c>
      <c r="E7" s="32">
        <f>26000/4</f>
        <v>6500</v>
      </c>
      <c r="F7" s="33">
        <v>0</v>
      </c>
      <c r="G7" s="32">
        <v>0</v>
      </c>
      <c r="H7" s="78">
        <f t="shared" si="2"/>
        <v>26000</v>
      </c>
      <c r="I7" s="114">
        <f>'анализ 1 кварт 2023'!I7</f>
        <v>26000</v>
      </c>
      <c r="J7" s="75"/>
    </row>
    <row r="8" spans="1:11" ht="16.5" thickTop="1" thickBot="1" x14ac:dyDescent="0.3">
      <c r="A8" s="95" t="s">
        <v>7</v>
      </c>
      <c r="B8" s="96">
        <v>222</v>
      </c>
      <c r="C8" s="35">
        <v>160000</v>
      </c>
      <c r="D8" s="35">
        <v>110433</v>
      </c>
      <c r="E8" s="32">
        <f>215432/4</f>
        <v>53858</v>
      </c>
      <c r="F8" s="33">
        <v>0</v>
      </c>
      <c r="G8" s="32">
        <v>0</v>
      </c>
      <c r="H8" s="78">
        <f t="shared" si="2"/>
        <v>110433</v>
      </c>
      <c r="I8" s="114">
        <f>'анализ 1 кварт 2023'!I8</f>
        <v>110433</v>
      </c>
      <c r="J8" s="75"/>
    </row>
    <row r="9" spans="1:11" ht="16.5" thickTop="1" thickBot="1" x14ac:dyDescent="0.3">
      <c r="A9" s="95" t="s">
        <v>23</v>
      </c>
      <c r="B9" s="96">
        <v>226</v>
      </c>
      <c r="C9" s="35"/>
      <c r="D9" s="35">
        <v>0</v>
      </c>
      <c r="E9" s="32">
        <f>280000/4</f>
        <v>70000</v>
      </c>
      <c r="F9" s="33">
        <v>0</v>
      </c>
      <c r="G9" s="32">
        <v>0</v>
      </c>
      <c r="H9" s="78">
        <f t="shared" si="2"/>
        <v>0</v>
      </c>
      <c r="I9" s="114">
        <f>'анализ 1 кварт 2023'!I9</f>
        <v>0</v>
      </c>
      <c r="J9" s="75"/>
    </row>
    <row r="10" spans="1:11" s="87" customFormat="1" ht="16.5" thickTop="1" thickBot="1" x14ac:dyDescent="0.3">
      <c r="A10" s="91" t="s">
        <v>4</v>
      </c>
      <c r="B10" s="92">
        <v>213</v>
      </c>
      <c r="C10" s="79">
        <f>C5*30.2/100</f>
        <v>79799652.163639992</v>
      </c>
      <c r="D10" s="79">
        <v>1502517.93</v>
      </c>
      <c r="E10" s="78">
        <f>111616631.64/4</f>
        <v>27904157.91</v>
      </c>
      <c r="F10" s="71">
        <f>E10-D10-500000-2000000</f>
        <v>23901639.98</v>
      </c>
      <c r="G10" s="78">
        <f>17732763.94+823.03</f>
        <v>17733586.970000003</v>
      </c>
      <c r="H10" s="78">
        <f t="shared" si="2"/>
        <v>7670570.9399999976</v>
      </c>
      <c r="I10" s="114">
        <f>'анализ 1 кварт 2023'!I10</f>
        <v>7670570.9399999976</v>
      </c>
      <c r="J10" s="86"/>
      <c r="K10" s="117"/>
    </row>
    <row r="11" spans="1:11" ht="16.5" thickTop="1" thickBot="1" x14ac:dyDescent="0.3">
      <c r="A11" s="97" t="s">
        <v>11</v>
      </c>
      <c r="B11" s="98">
        <v>290</v>
      </c>
      <c r="C11" s="99">
        <f>C13+C14</f>
        <v>18693016.75</v>
      </c>
      <c r="D11" s="67">
        <f>D13</f>
        <v>76167.899999999994</v>
      </c>
      <c r="E11" s="43">
        <f>E12+E13++E14</f>
        <v>5137841.4249999998</v>
      </c>
      <c r="F11" s="43">
        <f>E11-D11</f>
        <v>5061673.5249999994</v>
      </c>
      <c r="G11" s="43">
        <f>G12+G13+G14</f>
        <v>4007675.21</v>
      </c>
      <c r="H11" s="43">
        <f>D11+F11-G11</f>
        <v>1130166.2149999999</v>
      </c>
      <c r="I11" s="114">
        <f>'анализ 1 кварт 2023'!I11</f>
        <v>144660.59</v>
      </c>
      <c r="J11" s="8"/>
    </row>
    <row r="12" spans="1:11" ht="16.5" thickTop="1" thickBot="1" x14ac:dyDescent="0.3">
      <c r="A12" s="100" t="s">
        <v>22</v>
      </c>
      <c r="B12" s="96">
        <v>851</v>
      </c>
      <c r="C12" s="35">
        <v>0</v>
      </c>
      <c r="D12" s="35">
        <v>0</v>
      </c>
      <c r="E12" s="32">
        <f>20039175.07/4</f>
        <v>5009793.7675000001</v>
      </c>
      <c r="F12" s="33">
        <f>E12</f>
        <v>5009793.7675000001</v>
      </c>
      <c r="G12" s="32">
        <v>4000000</v>
      </c>
      <c r="H12" s="32">
        <f>D12+F12-G12</f>
        <v>1009793.7675000001</v>
      </c>
      <c r="I12" s="114">
        <f>'анализ 1 кварт 2023'!I12</f>
        <v>5009793.7675000001</v>
      </c>
      <c r="J12" s="8"/>
    </row>
    <row r="13" spans="1:11" ht="16.5" thickTop="1" thickBot="1" x14ac:dyDescent="0.3">
      <c r="A13" s="100"/>
      <c r="B13" s="96">
        <v>852</v>
      </c>
      <c r="C13" s="35">
        <f>17453853.23+301107.86</f>
        <v>17754961.09</v>
      </c>
      <c r="D13" s="35">
        <v>76167.899999999994</v>
      </c>
      <c r="E13" s="33">
        <f>92038/4</f>
        <v>23009.5</v>
      </c>
      <c r="F13" s="33">
        <v>6500</v>
      </c>
      <c r="G13" s="32">
        <v>6500</v>
      </c>
      <c r="H13" s="32">
        <f t="shared" ref="H13:H18" si="3">D13+F14-G14</f>
        <v>76167.899999999994</v>
      </c>
      <c r="I13" s="114">
        <f>'анализ 1 кварт 2023'!I13</f>
        <v>76167.899999999994</v>
      </c>
      <c r="J13" s="8"/>
    </row>
    <row r="14" spans="1:11" ht="16.5" thickTop="1" thickBot="1" x14ac:dyDescent="0.3">
      <c r="A14" s="100"/>
      <c r="B14" s="96">
        <v>853</v>
      </c>
      <c r="C14" s="35">
        <v>938055.66</v>
      </c>
      <c r="D14" s="35">
        <v>0</v>
      </c>
      <c r="E14" s="32">
        <f>420152.63/4</f>
        <v>105038.1575</v>
      </c>
      <c r="F14" s="33">
        <v>1175.21</v>
      </c>
      <c r="G14" s="32">
        <v>1175.21</v>
      </c>
      <c r="H14" s="32">
        <f>D14+F14-G14</f>
        <v>0</v>
      </c>
      <c r="I14" s="114">
        <f>'анализ 1 кварт 2023'!I14</f>
        <v>0</v>
      </c>
      <c r="J14" s="8"/>
      <c r="K14" s="1"/>
    </row>
    <row r="15" spans="1:11" ht="25.9" customHeight="1" thickTop="1" thickBot="1" x14ac:dyDescent="0.3">
      <c r="A15" s="108" t="s">
        <v>82</v>
      </c>
      <c r="B15" s="92">
        <v>200</v>
      </c>
      <c r="C15" s="79"/>
      <c r="D15" s="79">
        <v>0</v>
      </c>
      <c r="E15" s="85">
        <f>E16+E17+E18+E19+E20+E21</f>
        <v>8803570.2650000006</v>
      </c>
      <c r="F15" s="85">
        <f>E15</f>
        <v>8803570.2650000006</v>
      </c>
      <c r="G15" s="85">
        <f>G16+G17+G18+G19+G20+G21</f>
        <v>8465242.0099999998</v>
      </c>
      <c r="H15" s="78">
        <f>D15+F15-G15</f>
        <v>338328.25500000082</v>
      </c>
      <c r="I15" s="114">
        <f>'анализ 1 кварт 2023'!I15</f>
        <v>338328.25500000082</v>
      </c>
      <c r="J15" s="8"/>
    </row>
    <row r="16" spans="1:11" ht="15.6" customHeight="1" thickTop="1" thickBot="1" x14ac:dyDescent="0.3">
      <c r="A16" s="100" t="s">
        <v>8</v>
      </c>
      <c r="B16" s="96">
        <v>221</v>
      </c>
      <c r="C16" s="35">
        <v>1550000</v>
      </c>
      <c r="D16" s="35">
        <v>0</v>
      </c>
      <c r="E16" s="69">
        <f>816880/4</f>
        <v>204220</v>
      </c>
      <c r="F16" s="33">
        <f>E16</f>
        <v>204220</v>
      </c>
      <c r="G16" s="35">
        <v>83971</v>
      </c>
      <c r="H16" s="32">
        <f t="shared" si="3"/>
        <v>285297.54000000004</v>
      </c>
      <c r="I16" s="114">
        <f>'анализ 1 кварт 2023'!I16</f>
        <v>120249</v>
      </c>
    </row>
    <row r="17" spans="1:11" ht="15.6" customHeight="1" thickTop="1" thickBot="1" x14ac:dyDescent="0.3">
      <c r="A17" s="100" t="s">
        <v>81</v>
      </c>
      <c r="B17" s="31">
        <v>223</v>
      </c>
      <c r="C17" s="35"/>
      <c r="D17" s="35">
        <v>352511.76</v>
      </c>
      <c r="E17" s="32">
        <f>2524494.16/4</f>
        <v>631123.54</v>
      </c>
      <c r="F17" s="33">
        <f>E17</f>
        <v>631123.54</v>
      </c>
      <c r="G17" s="32">
        <f>345826</f>
        <v>345826</v>
      </c>
      <c r="H17" s="32">
        <f t="shared" si="3"/>
        <v>352511.76000000024</v>
      </c>
      <c r="I17" s="114">
        <f>'анализ 1 кварт 2023'!I17</f>
        <v>637809.30000000005</v>
      </c>
    </row>
    <row r="18" spans="1:11" ht="16.149999999999999" customHeight="1" thickTop="1" thickBot="1" x14ac:dyDescent="0.3">
      <c r="A18" s="100" t="s">
        <v>84</v>
      </c>
      <c r="B18" s="31" t="s">
        <v>83</v>
      </c>
      <c r="C18" s="35">
        <v>10958461.189999999</v>
      </c>
      <c r="D18" s="35">
        <v>0</v>
      </c>
      <c r="E18" s="32">
        <f>10684132.58/4</f>
        <v>2671033.145</v>
      </c>
      <c r="F18" s="33">
        <v>4033906.97</v>
      </c>
      <c r="G18" s="32">
        <f>4033906.97</f>
        <v>4033906.97</v>
      </c>
      <c r="H18" s="32">
        <f t="shared" si="3"/>
        <v>369100</v>
      </c>
      <c r="I18" s="114">
        <f>'анализ 1 кварт 2023'!I18</f>
        <v>0</v>
      </c>
      <c r="J18" s="8"/>
      <c r="K18" s="1"/>
    </row>
    <row r="19" spans="1:11" ht="37.9" customHeight="1" thickTop="1" thickBot="1" x14ac:dyDescent="0.3">
      <c r="A19" s="101" t="s">
        <v>80</v>
      </c>
      <c r="B19" s="96">
        <v>224</v>
      </c>
      <c r="C19" s="35"/>
      <c r="D19" s="35">
        <v>0</v>
      </c>
      <c r="E19" s="32">
        <f>4320000/4</f>
        <v>1080000</v>
      </c>
      <c r="F19" s="33">
        <f>E19</f>
        <v>1080000</v>
      </c>
      <c r="G19" s="32">
        <v>710900</v>
      </c>
      <c r="H19" s="32">
        <f t="shared" ref="H19" si="4">D19+E19-G19</f>
        <v>369100</v>
      </c>
      <c r="I19" s="114">
        <f>'анализ 1 кварт 2023'!I19</f>
        <v>369100</v>
      </c>
      <c r="J19" s="8"/>
    </row>
    <row r="20" spans="1:11" ht="16.5" thickTop="1" thickBot="1" x14ac:dyDescent="0.3">
      <c r="A20" s="100" t="s">
        <v>9</v>
      </c>
      <c r="B20" s="96">
        <v>225</v>
      </c>
      <c r="C20" s="35">
        <v>2428001.48</v>
      </c>
      <c r="D20" s="35">
        <v>0</v>
      </c>
      <c r="E20" s="32">
        <f>7489048.96/4</f>
        <v>1872262.24</v>
      </c>
      <c r="F20" s="33">
        <f>G20</f>
        <v>881647.35</v>
      </c>
      <c r="G20" s="32">
        <v>881647.35</v>
      </c>
      <c r="H20" s="32">
        <f>D20+F20-G20</f>
        <v>0</v>
      </c>
      <c r="I20" s="114">
        <f>'анализ 1 кварт 2023'!I20</f>
        <v>0</v>
      </c>
      <c r="J20" s="8"/>
    </row>
    <row r="21" spans="1:11" ht="16.5" thickTop="1" thickBot="1" x14ac:dyDescent="0.3">
      <c r="A21" s="100" t="s">
        <v>10</v>
      </c>
      <c r="B21" s="96">
        <v>226</v>
      </c>
      <c r="C21" s="35">
        <f>7978183.33+450000</f>
        <v>8428183.3300000001</v>
      </c>
      <c r="D21" s="35">
        <v>0</v>
      </c>
      <c r="E21" s="32">
        <f>9379725.36/4</f>
        <v>2344931.34</v>
      </c>
      <c r="F21" s="33">
        <f>G21</f>
        <v>2408990.69</v>
      </c>
      <c r="G21" s="32">
        <f>2383174.1+25816.59</f>
        <v>2408990.69</v>
      </c>
      <c r="H21" s="32">
        <f t="shared" ref="H21:H22" si="5">D21+F21-G21</f>
        <v>0</v>
      </c>
      <c r="I21" s="114">
        <f>'анализ 1 кварт 2023'!I21</f>
        <v>0</v>
      </c>
      <c r="J21" s="8"/>
    </row>
    <row r="22" spans="1:11" s="87" customFormat="1" ht="16.5" thickTop="1" thickBot="1" x14ac:dyDescent="0.3">
      <c r="A22" s="106" t="s">
        <v>12</v>
      </c>
      <c r="B22" s="92">
        <v>310</v>
      </c>
      <c r="C22" s="79">
        <v>3780000</v>
      </c>
      <c r="D22" s="79">
        <v>865440.48</v>
      </c>
      <c r="E22" s="78">
        <f>2492485/4</f>
        <v>623121.25</v>
      </c>
      <c r="F22" s="71"/>
      <c r="G22" s="78">
        <v>533100</v>
      </c>
      <c r="H22" s="32">
        <f t="shared" si="5"/>
        <v>332340.47999999998</v>
      </c>
      <c r="I22" s="114">
        <f>'анализ 1 кварт 2023'!I22</f>
        <v>332340.47999999998</v>
      </c>
      <c r="J22" s="86"/>
    </row>
    <row r="23" spans="1:11" ht="16.5" thickTop="1" thickBot="1" x14ac:dyDescent="0.3">
      <c r="A23" s="98" t="s">
        <v>16</v>
      </c>
      <c r="B23" s="98">
        <v>340</v>
      </c>
      <c r="C23" s="99">
        <f>C24+C25+C26+C27+C29</f>
        <v>191798685.66999999</v>
      </c>
      <c r="D23" s="67">
        <f>D24+D25+D26</f>
        <v>5023409.67</v>
      </c>
      <c r="E23" s="43">
        <f>E24+E25+E28+E26+E29+E27</f>
        <v>22703188.370000001</v>
      </c>
      <c r="F23" s="43">
        <f>F24+F25+F28+F26+F29+F27</f>
        <v>23564071.720000003</v>
      </c>
      <c r="G23" s="43">
        <f>G24+G25+G28+G26+G29</f>
        <v>18265228.969999999</v>
      </c>
      <c r="H23" s="43">
        <f>H24+H25+H28+H26+H29</f>
        <v>10322252.420000002</v>
      </c>
      <c r="I23" s="114">
        <f>'анализ 1 кварт 2023'!I23</f>
        <v>10322252.420000002</v>
      </c>
      <c r="J23" s="8"/>
    </row>
    <row r="24" spans="1:11" ht="16.5" thickTop="1" thickBot="1" x14ac:dyDescent="0.3">
      <c r="A24" s="95" t="s">
        <v>14</v>
      </c>
      <c r="B24" s="96">
        <v>341</v>
      </c>
      <c r="C24" s="35">
        <v>4095040.12</v>
      </c>
      <c r="D24" s="35">
        <v>4000000</v>
      </c>
      <c r="E24" s="32">
        <f>80424800/4</f>
        <v>20106200</v>
      </c>
      <c r="F24" s="33">
        <f>18256655.48+500000+3000000+2000000-192583.75-2596988.38</f>
        <v>20967083.350000001</v>
      </c>
      <c r="G24" s="32">
        <v>13841058.66</v>
      </c>
      <c r="H24" s="32">
        <f>D24+F24-G24</f>
        <v>11126024.690000001</v>
      </c>
      <c r="I24" s="114">
        <f>'анализ 1 кварт 2023'!I24</f>
        <v>11126024.690000001</v>
      </c>
      <c r="J24" s="75"/>
    </row>
    <row r="25" spans="1:11" ht="16.5" thickTop="1" thickBot="1" x14ac:dyDescent="0.3">
      <c r="A25" s="95" t="s">
        <v>13</v>
      </c>
      <c r="B25" s="96">
        <v>342</v>
      </c>
      <c r="C25" s="35">
        <v>174867368.16</v>
      </c>
      <c r="D25" s="35">
        <v>1023409.67</v>
      </c>
      <c r="E25" s="32">
        <f>3367198.48/4</f>
        <v>841799.62</v>
      </c>
      <c r="F25" s="33">
        <f>E25</f>
        <v>841799.62</v>
      </c>
      <c r="G25" s="32">
        <v>1742070.31</v>
      </c>
      <c r="H25" s="32">
        <f t="shared" ref="H25:H29" si="6">D25+F25-G25</f>
        <v>123138.97999999998</v>
      </c>
      <c r="I25" s="114">
        <f>'анализ 1 кварт 2023'!I25</f>
        <v>123138.97999999998</v>
      </c>
      <c r="J25" s="75"/>
    </row>
    <row r="26" spans="1:11" ht="16.5" thickTop="1" thickBot="1" x14ac:dyDescent="0.3">
      <c r="A26" s="95" t="s">
        <v>17</v>
      </c>
      <c r="B26" s="96">
        <v>343</v>
      </c>
      <c r="C26" s="35">
        <v>6670877.3899999997</v>
      </c>
      <c r="D26" s="35">
        <v>0</v>
      </c>
      <c r="E26" s="32">
        <f>4011755/4</f>
        <v>1002938.75</v>
      </c>
      <c r="F26" s="33">
        <f>E26</f>
        <v>1002938.75</v>
      </c>
      <c r="G26" s="32">
        <v>1205500</v>
      </c>
      <c r="H26" s="32">
        <f t="shared" si="6"/>
        <v>-202561.25</v>
      </c>
      <c r="I26" s="114">
        <f>'анализ 1 кварт 2023'!I26</f>
        <v>-202561.25</v>
      </c>
      <c r="J26" s="75"/>
    </row>
    <row r="27" spans="1:11" ht="16.5" thickTop="1" thickBot="1" x14ac:dyDescent="0.3">
      <c r="A27" s="95" t="s">
        <v>72</v>
      </c>
      <c r="B27" s="96">
        <v>344</v>
      </c>
      <c r="C27" s="35">
        <v>2609133.81</v>
      </c>
      <c r="D27" s="35">
        <v>0</v>
      </c>
      <c r="E27" s="32"/>
      <c r="F27" s="33"/>
      <c r="G27" s="32"/>
      <c r="H27" s="32">
        <f t="shared" si="6"/>
        <v>0</v>
      </c>
      <c r="I27" s="114">
        <f>'анализ 1 кварт 2023'!I27</f>
        <v>0</v>
      </c>
      <c r="J27" s="75"/>
    </row>
    <row r="28" spans="1:11" ht="16.5" thickTop="1" thickBot="1" x14ac:dyDescent="0.3">
      <c r="A28" s="95" t="s">
        <v>15</v>
      </c>
      <c r="B28" s="96">
        <v>345</v>
      </c>
      <c r="C28" s="35"/>
      <c r="D28" s="35">
        <v>0</v>
      </c>
      <c r="E28" s="32">
        <v>0</v>
      </c>
      <c r="F28" s="33">
        <f>E28</f>
        <v>0</v>
      </c>
      <c r="G28" s="32">
        <v>580000</v>
      </c>
      <c r="H28" s="32">
        <f t="shared" si="6"/>
        <v>-580000</v>
      </c>
      <c r="I28" s="114">
        <f>'анализ 1 кварт 2023'!I28</f>
        <v>-580000</v>
      </c>
      <c r="J28" s="75"/>
    </row>
    <row r="29" spans="1:11" ht="16.5" thickTop="1" thickBot="1" x14ac:dyDescent="0.3">
      <c r="A29" s="95" t="s">
        <v>18</v>
      </c>
      <c r="B29" s="96">
        <v>346</v>
      </c>
      <c r="C29" s="35">
        <f>1255565.81+2300700.38</f>
        <v>3556266.19</v>
      </c>
      <c r="D29" s="35">
        <v>0</v>
      </c>
      <c r="E29" s="32">
        <f>3009000/4</f>
        <v>752250</v>
      </c>
      <c r="F29" s="33">
        <f>E29</f>
        <v>752250</v>
      </c>
      <c r="G29" s="32">
        <v>896600</v>
      </c>
      <c r="H29" s="32">
        <f t="shared" si="6"/>
        <v>-144350</v>
      </c>
      <c r="I29" s="114">
        <f>'анализ 1 кварт 2023'!I29</f>
        <v>-144350</v>
      </c>
      <c r="J29" s="75"/>
    </row>
    <row r="30" spans="1:11" ht="16.899999999999999" customHeight="1" thickTop="1" thickBot="1" x14ac:dyDescent="0.3">
      <c r="A30" s="95" t="s">
        <v>68</v>
      </c>
      <c r="B30" s="96"/>
      <c r="C30" s="64"/>
      <c r="D30" s="95">
        <v>1368562.01</v>
      </c>
      <c r="E30" s="32"/>
      <c r="F30" s="33"/>
      <c r="G30" s="32">
        <v>192583.75</v>
      </c>
      <c r="H30" s="78">
        <f>D30+F30-G30</f>
        <v>1175978.26</v>
      </c>
      <c r="I30" s="114"/>
      <c r="J30" s="75"/>
    </row>
    <row r="31" spans="1:11" ht="6" customHeight="1" thickTop="1" thickBot="1" x14ac:dyDescent="0.3">
      <c r="A31" s="102"/>
      <c r="B31" s="103"/>
      <c r="C31" s="65">
        <f>C23+C22+C4</f>
        <v>581923259.40363991</v>
      </c>
      <c r="D31" s="64"/>
      <c r="E31" s="37"/>
      <c r="F31" s="37"/>
      <c r="G31" s="37"/>
      <c r="H31" s="37"/>
      <c r="I31" s="114">
        <f>'анализ 1 кварт 2023'!I31</f>
        <v>0</v>
      </c>
      <c r="J31" s="8"/>
    </row>
    <row r="32" spans="1:11" ht="16.5" thickTop="1" thickBot="1" x14ac:dyDescent="0.3">
      <c r="A32" s="104" t="s">
        <v>21</v>
      </c>
      <c r="B32" s="105"/>
      <c r="C32" s="33">
        <v>581923259.39999998</v>
      </c>
      <c r="D32" s="65">
        <v>1054327.53</v>
      </c>
      <c r="E32" s="39">
        <f>E23+E22+E15+E11+E10+E6+E5</f>
        <v>157349945.53</v>
      </c>
      <c r="F32" s="39">
        <f>F23+F22+F15+F11+F10+F6+F5</f>
        <v>148494511.06</v>
      </c>
      <c r="G32" s="70">
        <f>G5+G10+G11+G15+G23+G22</f>
        <v>116200625.45999999</v>
      </c>
      <c r="H32" s="39">
        <f>D32+F32-G32</f>
        <v>33348213.13000001</v>
      </c>
      <c r="I32" s="114">
        <f>'анализ 1 кварт 2023'!I32</f>
        <v>32555291.25500001</v>
      </c>
      <c r="J32" s="114"/>
    </row>
    <row r="33" spans="1:10" ht="15.75" thickTop="1" x14ac:dyDescent="0.25">
      <c r="B33" s="110"/>
      <c r="C33" s="110"/>
      <c r="D33" s="111">
        <f>'анализ 1 кварт 2023'!C32</f>
        <v>1054327.53</v>
      </c>
      <c r="E33" s="111">
        <f>'анализ 1 кварт 2023'!D32</f>
        <v>157349945.53</v>
      </c>
      <c r="F33" s="111">
        <f>'анализ 1 кварт 2023'!E32</f>
        <v>143509005.435</v>
      </c>
      <c r="G33" s="111">
        <f>'анализ 1 кварт 2023'!F32</f>
        <v>112200625.45999999</v>
      </c>
      <c r="H33" s="69">
        <f>D32+F33-G33</f>
        <v>32362707.50500001</v>
      </c>
      <c r="I33" s="114"/>
      <c r="J33" s="8"/>
    </row>
    <row r="34" spans="1:10" x14ac:dyDescent="0.25">
      <c r="B34" s="110"/>
      <c r="C34" s="110"/>
      <c r="D34" s="111"/>
      <c r="E34" s="111"/>
      <c r="F34" s="69"/>
      <c r="G34" s="69"/>
      <c r="H34" s="69"/>
      <c r="I34" s="114" t="s">
        <v>106</v>
      </c>
      <c r="J34" s="75"/>
    </row>
    <row r="35" spans="1:10" x14ac:dyDescent="0.25">
      <c r="A35" s="110" t="s">
        <v>25</v>
      </c>
      <c r="F35" s="111" t="s">
        <v>26</v>
      </c>
      <c r="H35" s="69"/>
    </row>
    <row r="36" spans="1:10" x14ac:dyDescent="0.25">
      <c r="A36" s="110" t="s">
        <v>27</v>
      </c>
      <c r="F36" s="110" t="s">
        <v>28</v>
      </c>
      <c r="G36" s="69"/>
      <c r="H36" s="69"/>
    </row>
    <row r="37" spans="1:10" x14ac:dyDescent="0.25">
      <c r="G37" s="109"/>
      <c r="H37" s="109"/>
    </row>
    <row r="38" spans="1:10" x14ac:dyDescent="0.25">
      <c r="G38" s="109"/>
      <c r="H38" s="109"/>
    </row>
    <row r="39" spans="1:10" x14ac:dyDescent="0.25">
      <c r="G39" s="109"/>
      <c r="H39" s="109"/>
    </row>
    <row r="40" spans="1:10" x14ac:dyDescent="0.25">
      <c r="G40" s="109"/>
      <c r="H40" s="109"/>
    </row>
  </sheetData>
  <mergeCells count="8">
    <mergeCell ref="A1:H1"/>
    <mergeCell ref="G2:G3"/>
    <mergeCell ref="H2:H3"/>
    <mergeCell ref="D2:D3"/>
    <mergeCell ref="A2:A3"/>
    <mergeCell ref="B2:B3"/>
    <mergeCell ref="E2:E3"/>
    <mergeCell ref="F2:F3"/>
  </mergeCells>
  <pageMargins left="1.4960629921259843" right="0.27559055118110237" top="0.23622047244094491" bottom="0.19685039370078741" header="0.19685039370078741" footer="0.19685039370078741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tabSelected="1" zoomScaleNormal="100" workbookViewId="0">
      <selection activeCell="K37" sqref="K37"/>
    </sheetView>
  </sheetViews>
  <sheetFormatPr defaultRowHeight="15" x14ac:dyDescent="0.25"/>
  <cols>
    <col min="1" max="1" width="30.7109375" customWidth="1"/>
    <col min="2" max="2" width="7.42578125" customWidth="1"/>
    <col min="3" max="5" width="14.7109375" customWidth="1"/>
    <col min="6" max="6" width="14.42578125" customWidth="1"/>
    <col min="7" max="7" width="15.28515625" customWidth="1"/>
    <col min="8" max="8" width="15.7109375" customWidth="1"/>
    <col min="9" max="9" width="14.5703125" style="1" customWidth="1"/>
    <col min="10" max="10" width="17.140625" customWidth="1"/>
    <col min="11" max="11" width="13.7109375" customWidth="1"/>
    <col min="12" max="12" width="12.140625" customWidth="1"/>
    <col min="13" max="13" width="12.28515625" customWidth="1"/>
    <col min="14" max="14" width="11.7109375" customWidth="1"/>
    <col min="15" max="15" width="12.7109375" customWidth="1"/>
    <col min="16" max="16" width="12.5703125" customWidth="1"/>
  </cols>
  <sheetData>
    <row r="1" spans="1:12" ht="14.45" customHeight="1" thickBot="1" x14ac:dyDescent="0.3">
      <c r="A1" s="173" t="s">
        <v>112</v>
      </c>
      <c r="B1" s="173"/>
      <c r="C1" s="173"/>
      <c r="D1" s="173"/>
      <c r="E1" s="173"/>
      <c r="F1" s="173"/>
      <c r="G1" s="173"/>
      <c r="H1" s="173"/>
    </row>
    <row r="2" spans="1:12" ht="15" customHeight="1" thickTop="1" thickBot="1" x14ac:dyDescent="0.3">
      <c r="A2" s="177" t="s">
        <v>0</v>
      </c>
      <c r="B2" s="177" t="s">
        <v>2</v>
      </c>
      <c r="C2" s="178" t="s">
        <v>100</v>
      </c>
      <c r="D2" s="174" t="s">
        <v>108</v>
      </c>
      <c r="E2" s="174" t="s">
        <v>109</v>
      </c>
      <c r="F2" s="174" t="s">
        <v>110</v>
      </c>
      <c r="G2" s="176" t="s">
        <v>24</v>
      </c>
      <c r="H2" s="176"/>
      <c r="I2" s="182" t="s">
        <v>85</v>
      </c>
    </row>
    <row r="3" spans="1:12" ht="25.5" customHeight="1" thickTop="1" thickBot="1" x14ac:dyDescent="0.3">
      <c r="A3" s="177"/>
      <c r="B3" s="177"/>
      <c r="C3" s="179"/>
      <c r="D3" s="175"/>
      <c r="E3" s="175"/>
      <c r="F3" s="175"/>
      <c r="G3" s="144" t="s">
        <v>57</v>
      </c>
      <c r="H3" s="151" t="s">
        <v>58</v>
      </c>
      <c r="I3" s="183"/>
    </row>
    <row r="4" spans="1:12" ht="16.5" thickTop="1" thickBot="1" x14ac:dyDescent="0.3">
      <c r="A4" s="29" t="s">
        <v>19</v>
      </c>
      <c r="B4" s="29"/>
      <c r="C4" s="66">
        <f>C32</f>
        <v>1054327.53</v>
      </c>
      <c r="D4" s="30">
        <f>D32</f>
        <v>314699891.06</v>
      </c>
      <c r="E4" s="30">
        <f>E32</f>
        <v>293640405.64999998</v>
      </c>
      <c r="F4" s="30">
        <f>F32</f>
        <v>273772168.86000001</v>
      </c>
      <c r="G4" s="30">
        <f>D4-F4</f>
        <v>40927722.199999988</v>
      </c>
      <c r="H4" s="30">
        <f>H32</f>
        <v>19868236.789999962</v>
      </c>
      <c r="I4" s="184"/>
      <c r="K4" s="9"/>
    </row>
    <row r="5" spans="1:12" ht="16.5" thickTop="1" thickBot="1" x14ac:dyDescent="0.3">
      <c r="A5" s="91" t="s">
        <v>3</v>
      </c>
      <c r="B5" s="31">
        <v>211</v>
      </c>
      <c r="C5" s="79">
        <v>1884152.74</v>
      </c>
      <c r="D5" s="78">
        <f>368190833.24/2</f>
        <v>184095416.62</v>
      </c>
      <c r="E5" s="71">
        <f>D5-C5-3000000</f>
        <v>179211263.88</v>
      </c>
      <c r="F5" s="71">
        <v>172463204.22999999</v>
      </c>
      <c r="G5" s="78">
        <f>D5-F5</f>
        <v>11632212.390000015</v>
      </c>
      <c r="H5" s="78">
        <f>E5-F5</f>
        <v>6748059.650000006</v>
      </c>
      <c r="I5" s="154">
        <f>C5+E5-F5</f>
        <v>8632212.3900000155</v>
      </c>
      <c r="J5" s="140"/>
      <c r="K5" s="5"/>
    </row>
    <row r="6" spans="1:12" ht="16.5" thickTop="1" thickBot="1" x14ac:dyDescent="0.3">
      <c r="A6" s="93" t="s">
        <v>5</v>
      </c>
      <c r="B6" s="76">
        <v>212</v>
      </c>
      <c r="C6" s="67">
        <f>C8+C7</f>
        <v>136433</v>
      </c>
      <c r="D6" s="43">
        <f>D7+D8+D9</f>
        <v>260716</v>
      </c>
      <c r="E6" s="43">
        <f t="shared" ref="E6:F6" si="0">E7+E8+E9</f>
        <v>0</v>
      </c>
      <c r="F6" s="43">
        <f t="shared" si="0"/>
        <v>0</v>
      </c>
      <c r="G6" s="43">
        <f>C6+D6-F6</f>
        <v>397149</v>
      </c>
      <c r="H6" s="43">
        <f>C6+E6-F6</f>
        <v>136433</v>
      </c>
      <c r="I6" s="154">
        <f t="shared" ref="I6:I28" si="1">C6+E6-F6</f>
        <v>136433</v>
      </c>
      <c r="K6" s="9"/>
    </row>
    <row r="7" spans="1:12" ht="16.5" thickTop="1" thickBot="1" x14ac:dyDescent="0.3">
      <c r="A7" s="95" t="s">
        <v>6</v>
      </c>
      <c r="B7" s="31">
        <v>212</v>
      </c>
      <c r="C7" s="35">
        <v>26000</v>
      </c>
      <c r="D7" s="32">
        <f>26000/2</f>
        <v>13000</v>
      </c>
      <c r="E7" s="33">
        <v>0</v>
      </c>
      <c r="F7" s="32">
        <v>0</v>
      </c>
      <c r="G7" s="32">
        <f>C7+D7-F7</f>
        <v>39000</v>
      </c>
      <c r="H7" s="32">
        <f>C7+E7-F7</f>
        <v>26000</v>
      </c>
      <c r="I7" s="153">
        <f t="shared" si="1"/>
        <v>26000</v>
      </c>
      <c r="K7" s="5"/>
    </row>
    <row r="8" spans="1:12" ht="16.5" thickTop="1" thickBot="1" x14ac:dyDescent="0.3">
      <c r="A8" s="95" t="s">
        <v>7</v>
      </c>
      <c r="B8" s="31">
        <v>222</v>
      </c>
      <c r="C8" s="35">
        <v>110433</v>
      </c>
      <c r="D8" s="32">
        <f>215432/2</f>
        <v>107716</v>
      </c>
      <c r="E8" s="33">
        <v>0</v>
      </c>
      <c r="F8" s="32">
        <v>0</v>
      </c>
      <c r="G8" s="32">
        <f t="shared" ref="G8:G9" si="2">C8+D8-F8</f>
        <v>218149</v>
      </c>
      <c r="H8" s="32">
        <f t="shared" ref="H8:H9" si="3">C8+E8-F8</f>
        <v>110433</v>
      </c>
      <c r="I8" s="153">
        <f t="shared" si="1"/>
        <v>110433</v>
      </c>
      <c r="K8" s="9"/>
    </row>
    <row r="9" spans="1:12" ht="16.5" thickTop="1" thickBot="1" x14ac:dyDescent="0.3">
      <c r="A9" s="95" t="s">
        <v>23</v>
      </c>
      <c r="B9" s="31">
        <v>226</v>
      </c>
      <c r="C9" s="35">
        <v>0</v>
      </c>
      <c r="D9" s="32">
        <f>280000/2</f>
        <v>140000</v>
      </c>
      <c r="E9" s="33">
        <v>0</v>
      </c>
      <c r="F9" s="32">
        <v>0</v>
      </c>
      <c r="G9" s="32">
        <f t="shared" si="2"/>
        <v>140000</v>
      </c>
      <c r="H9" s="32">
        <f t="shared" si="3"/>
        <v>0</v>
      </c>
      <c r="I9" s="154">
        <f t="shared" si="1"/>
        <v>0</v>
      </c>
      <c r="K9" s="9" t="s">
        <v>69</v>
      </c>
    </row>
    <row r="10" spans="1:12" ht="16.5" thickTop="1" thickBot="1" x14ac:dyDescent="0.3">
      <c r="A10" s="91" t="s">
        <v>4</v>
      </c>
      <c r="B10" s="31">
        <v>213</v>
      </c>
      <c r="C10" s="79">
        <v>1502517.93</v>
      </c>
      <c r="D10" s="78">
        <f>111616631.64/2</f>
        <v>55808315.82</v>
      </c>
      <c r="E10" s="71">
        <f>D10-1715101.72</f>
        <v>54093214.100000001</v>
      </c>
      <c r="F10" s="78">
        <f>44816138.72+823.03</f>
        <v>44816961.75</v>
      </c>
      <c r="G10" s="78">
        <f>C10+D10-F10</f>
        <v>12493872</v>
      </c>
      <c r="H10" s="78">
        <f>C10+E10-F10</f>
        <v>10778770.280000001</v>
      </c>
      <c r="I10" s="154">
        <f t="shared" si="1"/>
        <v>10778770.280000001</v>
      </c>
      <c r="K10" s="5"/>
    </row>
    <row r="11" spans="1:12" ht="16.5" thickTop="1" thickBot="1" x14ac:dyDescent="0.3">
      <c r="A11" s="93" t="s">
        <v>11</v>
      </c>
      <c r="B11" s="34">
        <v>290</v>
      </c>
      <c r="C11" s="67">
        <f>C13</f>
        <v>76167.899999999994</v>
      </c>
      <c r="D11" s="43">
        <f>D12+D13++D14</f>
        <v>10275682.85</v>
      </c>
      <c r="E11" s="43">
        <f>C11</f>
        <v>76167.899999999994</v>
      </c>
      <c r="F11" s="43">
        <f>F12+F13+F14</f>
        <v>4011679</v>
      </c>
      <c r="G11" s="43">
        <f>D11-F11</f>
        <v>6264003.8499999996</v>
      </c>
      <c r="H11" s="152">
        <f>E11-F11</f>
        <v>-3935511.1</v>
      </c>
      <c r="I11" s="157">
        <f t="shared" si="1"/>
        <v>-3859343.2</v>
      </c>
      <c r="K11" s="5"/>
      <c r="L11" s="28"/>
    </row>
    <row r="12" spans="1:12" ht="16.5" thickTop="1" thickBot="1" x14ac:dyDescent="0.3">
      <c r="A12" s="100" t="s">
        <v>22</v>
      </c>
      <c r="B12" s="31">
        <v>851</v>
      </c>
      <c r="C12" s="35">
        <v>0</v>
      </c>
      <c r="D12" s="32">
        <f>20039175.07/2</f>
        <v>10019587.535</v>
      </c>
      <c r="E12" s="33">
        <f t="shared" ref="E12:E22" si="4">D12</f>
        <v>10019587.535</v>
      </c>
      <c r="F12" s="32">
        <v>4000000</v>
      </c>
      <c r="G12" s="32">
        <f>C12+D12-F12</f>
        <v>6019587.5350000001</v>
      </c>
      <c r="H12" s="32">
        <f>C12+E12-F12</f>
        <v>6019587.5350000001</v>
      </c>
      <c r="I12" s="154">
        <f t="shared" si="1"/>
        <v>6019587.5350000001</v>
      </c>
      <c r="K12" s="5"/>
    </row>
    <row r="13" spans="1:12" ht="16.5" thickTop="1" thickBot="1" x14ac:dyDescent="0.3">
      <c r="A13" s="100"/>
      <c r="B13" s="31">
        <v>852</v>
      </c>
      <c r="C13" s="35">
        <v>76167.899999999994</v>
      </c>
      <c r="D13" s="33">
        <f>92038/2</f>
        <v>46019</v>
      </c>
      <c r="E13" s="33">
        <f t="shared" si="4"/>
        <v>46019</v>
      </c>
      <c r="F13" s="32">
        <v>8100</v>
      </c>
      <c r="G13" s="32">
        <f>C13+D13-F13</f>
        <v>114086.9</v>
      </c>
      <c r="H13" s="32">
        <f t="shared" ref="H13:H14" si="5">C13+E13-F13</f>
        <v>114086.9</v>
      </c>
      <c r="I13" s="153">
        <f t="shared" si="1"/>
        <v>114086.9</v>
      </c>
      <c r="K13" s="5"/>
    </row>
    <row r="14" spans="1:12" ht="16.5" thickTop="1" thickBot="1" x14ac:dyDescent="0.3">
      <c r="A14" s="100"/>
      <c r="B14" s="31">
        <v>853</v>
      </c>
      <c r="C14" s="35">
        <v>0</v>
      </c>
      <c r="D14" s="32">
        <f>420152.63/2</f>
        <v>210076.315</v>
      </c>
      <c r="E14" s="33">
        <f t="shared" si="4"/>
        <v>210076.315</v>
      </c>
      <c r="F14" s="32">
        <f>3579+0</f>
        <v>3579</v>
      </c>
      <c r="G14" s="32">
        <f t="shared" ref="G14" si="6">C14+D14-F14</f>
        <v>206497.315</v>
      </c>
      <c r="H14" s="32">
        <f t="shared" si="5"/>
        <v>206497.315</v>
      </c>
      <c r="I14" s="153">
        <f t="shared" si="1"/>
        <v>206497.315</v>
      </c>
      <c r="K14" s="5"/>
    </row>
    <row r="15" spans="1:12" ht="30.6" customHeight="1" thickTop="1" thickBot="1" x14ac:dyDescent="0.3">
      <c r="A15" s="115" t="s">
        <v>82</v>
      </c>
      <c r="B15" s="77">
        <v>310</v>
      </c>
      <c r="C15" s="79">
        <v>0</v>
      </c>
      <c r="D15" s="85">
        <f>D16+D17+D18+D19+D20+D21</f>
        <v>17607140.530000001</v>
      </c>
      <c r="E15" s="85">
        <f t="shared" si="4"/>
        <v>17607140.530000001</v>
      </c>
      <c r="F15" s="85">
        <f>F16+F17+F18+F19+F20+F21</f>
        <v>16926563.220000003</v>
      </c>
      <c r="G15" s="78">
        <f>C15+D15-F15</f>
        <v>680577.30999999866</v>
      </c>
      <c r="H15" s="78">
        <f>C15+E15-F15</f>
        <v>680577.30999999866</v>
      </c>
      <c r="I15" s="154">
        <f t="shared" si="1"/>
        <v>680577.30999999866</v>
      </c>
    </row>
    <row r="16" spans="1:12" ht="16.5" thickTop="1" thickBot="1" x14ac:dyDescent="0.3">
      <c r="A16" s="100" t="s">
        <v>8</v>
      </c>
      <c r="B16" s="31">
        <v>221</v>
      </c>
      <c r="C16" s="35">
        <v>0</v>
      </c>
      <c r="D16" s="69">
        <f>816880/2</f>
        <v>408440</v>
      </c>
      <c r="E16" s="33">
        <f t="shared" si="4"/>
        <v>408440</v>
      </c>
      <c r="F16" s="35">
        <v>396878.48</v>
      </c>
      <c r="G16" s="32">
        <f>C16+D16-F16</f>
        <v>11561.520000000019</v>
      </c>
      <c r="H16" s="32">
        <f>C16+E16-F16</f>
        <v>11561.520000000019</v>
      </c>
      <c r="I16" s="153">
        <f t="shared" si="1"/>
        <v>11561.520000000019</v>
      </c>
    </row>
    <row r="17" spans="1:11" ht="30.75" customHeight="1" thickTop="1" thickBot="1" x14ac:dyDescent="0.3">
      <c r="A17" s="100" t="s">
        <v>81</v>
      </c>
      <c r="B17" s="31">
        <v>223</v>
      </c>
      <c r="C17" s="35">
        <v>352511.76</v>
      </c>
      <c r="D17" s="32">
        <f>2524494.16/2</f>
        <v>1262247.08</v>
      </c>
      <c r="E17" s="33">
        <f t="shared" si="4"/>
        <v>1262247.08</v>
      </c>
      <c r="F17" s="32">
        <f>864565+57766.05</f>
        <v>922331.05</v>
      </c>
      <c r="G17" s="32">
        <f t="shared" ref="G17:G19" si="7">C17+D17-F17</f>
        <v>692427.79</v>
      </c>
      <c r="H17" s="32">
        <f t="shared" ref="H17:H21" si="8">C17+E17-F17</f>
        <v>692427.79</v>
      </c>
      <c r="I17" s="153">
        <f t="shared" si="1"/>
        <v>692427.79</v>
      </c>
    </row>
    <row r="18" spans="1:11" ht="20.45" customHeight="1" thickTop="1" thickBot="1" x14ac:dyDescent="0.3">
      <c r="A18" s="100" t="s">
        <v>84</v>
      </c>
      <c r="B18" s="31" t="s">
        <v>83</v>
      </c>
      <c r="C18" s="35">
        <v>0</v>
      </c>
      <c r="D18" s="32">
        <f>10684132.58/2</f>
        <v>5342066.29</v>
      </c>
      <c r="E18" s="33">
        <f t="shared" si="4"/>
        <v>5342066.29</v>
      </c>
      <c r="F18" s="32">
        <f>7127858.78</f>
        <v>7127858.7800000003</v>
      </c>
      <c r="G18" s="113">
        <f t="shared" si="7"/>
        <v>-1785792.4900000002</v>
      </c>
      <c r="H18" s="113">
        <f t="shared" si="8"/>
        <v>-1785792.4900000002</v>
      </c>
      <c r="I18" s="155">
        <f t="shared" si="1"/>
        <v>-1785792.4900000002</v>
      </c>
    </row>
    <row r="19" spans="1:11" ht="50.25" customHeight="1" thickTop="1" thickBot="1" x14ac:dyDescent="0.3">
      <c r="A19" s="101" t="s">
        <v>80</v>
      </c>
      <c r="B19" s="31">
        <v>224</v>
      </c>
      <c r="C19" s="35">
        <v>0</v>
      </c>
      <c r="D19" s="32">
        <f>4320000/2</f>
        <v>2160000</v>
      </c>
      <c r="E19" s="33">
        <f t="shared" si="4"/>
        <v>2160000</v>
      </c>
      <c r="F19" s="32">
        <v>1777250</v>
      </c>
      <c r="G19" s="32">
        <f t="shared" si="7"/>
        <v>382750</v>
      </c>
      <c r="H19" s="32">
        <f t="shared" si="8"/>
        <v>382750</v>
      </c>
      <c r="I19" s="153">
        <f t="shared" si="1"/>
        <v>382750</v>
      </c>
    </row>
    <row r="20" spans="1:11" ht="16.5" thickTop="1" thickBot="1" x14ac:dyDescent="0.3">
      <c r="A20" s="100" t="s">
        <v>9</v>
      </c>
      <c r="B20" s="31">
        <v>225</v>
      </c>
      <c r="C20" s="35">
        <v>0</v>
      </c>
      <c r="D20" s="32">
        <f>7489048.96/2</f>
        <v>3744524.48</v>
      </c>
      <c r="E20" s="33">
        <f t="shared" si="4"/>
        <v>3744524.48</v>
      </c>
      <c r="F20" s="32">
        <v>3187502.47</v>
      </c>
      <c r="G20" s="32">
        <f>C20+D20-F20</f>
        <v>557022.00999999978</v>
      </c>
      <c r="H20" s="32">
        <f t="shared" si="8"/>
        <v>557022.00999999978</v>
      </c>
      <c r="I20" s="153">
        <f t="shared" si="1"/>
        <v>557022.00999999978</v>
      </c>
    </row>
    <row r="21" spans="1:11" ht="16.5" thickTop="1" thickBot="1" x14ac:dyDescent="0.3">
      <c r="A21" s="100" t="s">
        <v>10</v>
      </c>
      <c r="B21" s="31">
        <v>226</v>
      </c>
      <c r="C21" s="35">
        <v>0</v>
      </c>
      <c r="D21" s="32">
        <f>9379725.36/2</f>
        <v>4689862.68</v>
      </c>
      <c r="E21" s="33">
        <f t="shared" si="4"/>
        <v>4689862.68</v>
      </c>
      <c r="F21" s="32">
        <f>3459742.22+55000.22</f>
        <v>3514742.4400000004</v>
      </c>
      <c r="G21" s="32">
        <f t="shared" ref="G21" si="9">C21+D21-F21</f>
        <v>1175120.2399999993</v>
      </c>
      <c r="H21" s="32">
        <f t="shared" si="8"/>
        <v>1175120.2399999993</v>
      </c>
      <c r="I21" s="153">
        <f t="shared" si="1"/>
        <v>1175120.2399999993</v>
      </c>
    </row>
    <row r="22" spans="1:11" s="87" customFormat="1" ht="16.5" thickTop="1" thickBot="1" x14ac:dyDescent="0.3">
      <c r="A22" s="106" t="s">
        <v>12</v>
      </c>
      <c r="B22" s="107">
        <v>310</v>
      </c>
      <c r="C22" s="79">
        <v>865440.48</v>
      </c>
      <c r="D22" s="78">
        <f>2492485/2</f>
        <v>1246242.5</v>
      </c>
      <c r="E22" s="71">
        <f t="shared" si="4"/>
        <v>1246242.5</v>
      </c>
      <c r="F22" s="78">
        <v>2847012</v>
      </c>
      <c r="G22" s="112">
        <f>C22+D22-F22</f>
        <v>-735329.02</v>
      </c>
      <c r="H22" s="112">
        <f>C22+E22-F22</f>
        <v>-735329.02</v>
      </c>
      <c r="I22" s="157">
        <f t="shared" si="1"/>
        <v>-735329.02</v>
      </c>
      <c r="J22" s="117"/>
    </row>
    <row r="23" spans="1:11" ht="16.5" thickTop="1" thickBot="1" x14ac:dyDescent="0.3">
      <c r="A23" s="98" t="s">
        <v>16</v>
      </c>
      <c r="B23" s="34">
        <v>340</v>
      </c>
      <c r="C23" s="67">
        <f>C24+C25+C26</f>
        <v>5023409.67</v>
      </c>
      <c r="D23" s="43">
        <f>D24+D25+D28+D26+D29+D27</f>
        <v>45406376.740000002</v>
      </c>
      <c r="E23" s="43">
        <f>E24+E25+E28+E26+E29+E27</f>
        <v>41406376.740000002</v>
      </c>
      <c r="F23" s="43">
        <f>F24+F25+F28+F26+F29</f>
        <v>32706748.66</v>
      </c>
      <c r="G23" s="43">
        <f>G24+G25+G28+G26+G29</f>
        <v>17723037.75</v>
      </c>
      <c r="H23" s="152">
        <f>H25+H26</f>
        <v>-1545401.54</v>
      </c>
      <c r="I23" s="154">
        <f t="shared" si="1"/>
        <v>13723037.750000004</v>
      </c>
      <c r="J23" s="1"/>
    </row>
    <row r="24" spans="1:11" ht="16.5" thickTop="1" thickBot="1" x14ac:dyDescent="0.3">
      <c r="A24" s="95" t="s">
        <v>14</v>
      </c>
      <c r="B24" s="31">
        <v>341</v>
      </c>
      <c r="C24" s="35">
        <v>4000000</v>
      </c>
      <c r="D24" s="32">
        <f>80424800/2</f>
        <v>40212400</v>
      </c>
      <c r="E24" s="33">
        <f>D24-4000000</f>
        <v>36212400</v>
      </c>
      <c r="F24" s="32">
        <v>24521760.710000001</v>
      </c>
      <c r="G24" s="32">
        <f>C24+D24-F24</f>
        <v>19690639.289999999</v>
      </c>
      <c r="H24" s="32">
        <f>C24+E24-F24</f>
        <v>15690639.289999999</v>
      </c>
      <c r="I24" s="153">
        <f t="shared" si="1"/>
        <v>15690639.289999999</v>
      </c>
      <c r="J24" s="1"/>
    </row>
    <row r="25" spans="1:11" ht="16.5" thickTop="1" thickBot="1" x14ac:dyDescent="0.3">
      <c r="A25" s="95" t="s">
        <v>13</v>
      </c>
      <c r="B25" s="31">
        <v>342</v>
      </c>
      <c r="C25" s="35">
        <v>1023409.67</v>
      </c>
      <c r="D25" s="32">
        <f>3367198.48/2</f>
        <v>1683599.24</v>
      </c>
      <c r="E25" s="33">
        <f>D25</f>
        <v>1683599.24</v>
      </c>
      <c r="F25" s="32">
        <v>3763287.95</v>
      </c>
      <c r="G25" s="113">
        <f t="shared" ref="G25:G29" si="10">C25+D25-F25</f>
        <v>-1056279.04</v>
      </c>
      <c r="H25" s="113">
        <f t="shared" ref="H25:H29" si="11">C25+E25-F25</f>
        <v>-1056279.04</v>
      </c>
      <c r="I25" s="155">
        <f t="shared" si="1"/>
        <v>-1056279.04</v>
      </c>
      <c r="J25" s="1"/>
    </row>
    <row r="26" spans="1:11" ht="16.5" thickTop="1" thickBot="1" x14ac:dyDescent="0.3">
      <c r="A26" s="95" t="s">
        <v>17</v>
      </c>
      <c r="B26" s="31">
        <v>343</v>
      </c>
      <c r="C26" s="35">
        <v>0</v>
      </c>
      <c r="D26" s="32">
        <f>4011755/2</f>
        <v>2005877.5</v>
      </c>
      <c r="E26" s="33">
        <f>D26</f>
        <v>2005877.5</v>
      </c>
      <c r="F26" s="32">
        <v>2495000</v>
      </c>
      <c r="G26" s="113">
        <f t="shared" si="10"/>
        <v>-489122.5</v>
      </c>
      <c r="H26" s="113">
        <f>C26+E26-F26</f>
        <v>-489122.5</v>
      </c>
      <c r="I26" s="155">
        <f t="shared" si="1"/>
        <v>-489122.5</v>
      </c>
      <c r="J26" s="1"/>
    </row>
    <row r="27" spans="1:11" ht="16.5" thickTop="1" thickBot="1" x14ac:dyDescent="0.3">
      <c r="A27" s="95" t="s">
        <v>72</v>
      </c>
      <c r="B27" s="31">
        <v>344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0</v>
      </c>
      <c r="J27" s="1"/>
    </row>
    <row r="28" spans="1:11" ht="16.5" thickTop="1" thickBot="1" x14ac:dyDescent="0.3">
      <c r="A28" s="95" t="s">
        <v>15</v>
      </c>
      <c r="B28" s="31">
        <v>345</v>
      </c>
      <c r="C28" s="35">
        <v>0</v>
      </c>
      <c r="D28" s="32">
        <v>0</v>
      </c>
      <c r="E28" s="33">
        <f>D28</f>
        <v>0</v>
      </c>
      <c r="F28" s="32">
        <v>580000</v>
      </c>
      <c r="G28" s="113">
        <f t="shared" si="10"/>
        <v>-580000</v>
      </c>
      <c r="H28" s="113">
        <f t="shared" si="11"/>
        <v>-580000</v>
      </c>
      <c r="I28" s="155">
        <f t="shared" si="1"/>
        <v>-580000</v>
      </c>
      <c r="J28" s="1"/>
      <c r="K28" s="5"/>
    </row>
    <row r="29" spans="1:11" ht="16.5" thickTop="1" thickBot="1" x14ac:dyDescent="0.3">
      <c r="A29" s="95" t="s">
        <v>18</v>
      </c>
      <c r="B29" s="31">
        <v>346</v>
      </c>
      <c r="C29" s="35">
        <v>0</v>
      </c>
      <c r="D29" s="32">
        <f>3009000/2</f>
        <v>1504500</v>
      </c>
      <c r="E29" s="33">
        <f>D29</f>
        <v>1504500</v>
      </c>
      <c r="F29" s="32">
        <v>1346700</v>
      </c>
      <c r="G29" s="32">
        <f t="shared" si="10"/>
        <v>157800</v>
      </c>
      <c r="H29" s="32">
        <f t="shared" si="11"/>
        <v>157800</v>
      </c>
      <c r="I29" s="158">
        <f>C29+E29-F29</f>
        <v>157800</v>
      </c>
      <c r="J29" s="1"/>
      <c r="K29" s="5"/>
    </row>
    <row r="30" spans="1:11" ht="15.6" customHeight="1" thickTop="1" thickBot="1" x14ac:dyDescent="0.3">
      <c r="A30" s="95" t="s">
        <v>68</v>
      </c>
      <c r="C30" s="95">
        <v>1368562.01</v>
      </c>
      <c r="D30" s="32"/>
      <c r="E30" s="33"/>
      <c r="F30" s="32">
        <v>224753.53</v>
      </c>
      <c r="G30" s="32"/>
      <c r="H30" s="32"/>
      <c r="I30" s="159">
        <f>C30+E30-F30</f>
        <v>1143808.48</v>
      </c>
      <c r="J30" s="1"/>
      <c r="K30" s="5"/>
    </row>
    <row r="31" spans="1:11" ht="6" customHeight="1" thickTop="1" thickBot="1" x14ac:dyDescent="0.3">
      <c r="A31" s="102"/>
      <c r="B31" s="36"/>
      <c r="C31" s="64"/>
      <c r="D31" s="37"/>
      <c r="E31" s="37"/>
      <c r="F31" s="37"/>
      <c r="G31" s="37"/>
      <c r="H31" s="37"/>
      <c r="I31" s="156"/>
      <c r="J31" s="6"/>
      <c r="K31" s="5"/>
    </row>
    <row r="32" spans="1:11" ht="16.5" thickTop="1" thickBot="1" x14ac:dyDescent="0.3">
      <c r="A32" s="104" t="s">
        <v>21</v>
      </c>
      <c r="B32" s="38"/>
      <c r="C32" s="65">
        <v>1054327.53</v>
      </c>
      <c r="D32" s="39">
        <f>D23+D22+D15+D11+D10+D6+D5</f>
        <v>314699891.06</v>
      </c>
      <c r="E32" s="39">
        <f>E23+E22+E15+E11+E10+E6+E5</f>
        <v>293640405.64999998</v>
      </c>
      <c r="F32" s="70">
        <f>F5+F10+F11+F15+F23+F22</f>
        <v>273772168.86000001</v>
      </c>
      <c r="G32" s="39">
        <f>D32-F32</f>
        <v>40927722.199999988</v>
      </c>
      <c r="H32" s="39">
        <f>E32-F32</f>
        <v>19868236.789999962</v>
      </c>
      <c r="I32" s="160">
        <f>C32+E32-F32+F30</f>
        <v>21147317.849999934</v>
      </c>
      <c r="J32" s="1"/>
      <c r="K32" s="5"/>
    </row>
    <row r="33" spans="1:10" s="140" customFormat="1" ht="14.25" thickTop="1" thickBot="1" x14ac:dyDescent="0.25">
      <c r="A33" s="118" t="s">
        <v>25</v>
      </c>
      <c r="B33" s="118"/>
      <c r="C33" s="118"/>
      <c r="D33" s="118"/>
      <c r="E33" s="119" t="s">
        <v>26</v>
      </c>
      <c r="F33" s="68"/>
      <c r="G33" s="71">
        <f>E32+G35-F32+F30</f>
        <v>21147317.849999934</v>
      </c>
      <c r="H33" s="141" t="s">
        <v>111</v>
      </c>
    </row>
    <row r="34" spans="1:10" s="143" customFormat="1" ht="14.25" thickTop="1" thickBot="1" x14ac:dyDescent="0.25">
      <c r="A34" s="118" t="s">
        <v>27</v>
      </c>
      <c r="B34" s="118"/>
      <c r="C34" s="118"/>
      <c r="D34" s="118"/>
      <c r="E34" s="118" t="s">
        <v>28</v>
      </c>
      <c r="F34" s="140"/>
      <c r="I34" s="140"/>
      <c r="J34" s="140"/>
    </row>
    <row r="35" spans="1:10" s="2" customFormat="1" ht="13.5" thickTop="1" thickBot="1" x14ac:dyDescent="0.25">
      <c r="F35" s="68"/>
      <c r="G35" s="71">
        <f>'анализ 1 кварт-2023'!D32</f>
        <v>1054327.53</v>
      </c>
      <c r="H35" s="141" t="s">
        <v>100</v>
      </c>
      <c r="I35" s="4"/>
    </row>
    <row r="36" spans="1:10" s="2" customFormat="1" ht="12" thickTop="1" x14ac:dyDescent="0.2">
      <c r="G36" s="4"/>
      <c r="I36" s="4"/>
    </row>
    <row r="37" spans="1:10" x14ac:dyDescent="0.25">
      <c r="G37" s="4"/>
    </row>
    <row r="38" spans="1:10" x14ac:dyDescent="0.25">
      <c r="G38" s="4"/>
    </row>
    <row r="39" spans="1:10" x14ac:dyDescent="0.25">
      <c r="G39" s="4"/>
    </row>
    <row r="40" spans="1:10" x14ac:dyDescent="0.25">
      <c r="A40" s="40"/>
      <c r="B40" s="40"/>
      <c r="C40" s="40"/>
      <c r="D40" s="40"/>
      <c r="E40" s="40"/>
      <c r="G40" s="2"/>
    </row>
    <row r="41" spans="1:10" x14ac:dyDescent="0.25">
      <c r="A41" s="40"/>
      <c r="B41" s="40"/>
      <c r="C41" s="40"/>
      <c r="D41" s="40"/>
      <c r="E41" s="40"/>
      <c r="F41" s="40"/>
      <c r="G41" s="40"/>
    </row>
    <row r="43" spans="1:10" x14ac:dyDescent="0.25">
      <c r="F43" s="41"/>
      <c r="G43" s="42"/>
    </row>
    <row r="44" spans="1:10" x14ac:dyDescent="0.25">
      <c r="F44" s="41"/>
      <c r="G44" s="41"/>
    </row>
    <row r="45" spans="1:10" x14ac:dyDescent="0.25">
      <c r="F45" s="41"/>
      <c r="G45" s="41"/>
    </row>
    <row r="46" spans="1:10" x14ac:dyDescent="0.25">
      <c r="F46" s="41"/>
      <c r="G46" s="41"/>
    </row>
    <row r="47" spans="1:10" x14ac:dyDescent="0.25">
      <c r="F47" s="40"/>
      <c r="G47" s="40"/>
    </row>
    <row r="49" spans="10:10" x14ac:dyDescent="0.25">
      <c r="J49" t="s">
        <v>106</v>
      </c>
    </row>
  </sheetData>
  <mergeCells count="9">
    <mergeCell ref="I2:I4"/>
    <mergeCell ref="A1:H1"/>
    <mergeCell ref="A2:A3"/>
    <mergeCell ref="B2:B3"/>
    <mergeCell ref="C2:C3"/>
    <mergeCell ref="D2:D3"/>
    <mergeCell ref="E2:E3"/>
    <mergeCell ref="F2:F3"/>
    <mergeCell ref="G2:H2"/>
  </mergeCells>
  <pageMargins left="0.51181102362204722" right="0" top="0" bottom="0" header="0.19685039370078741" footer="0.19685039370078741"/>
  <pageSetup paperSize="9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2"/>
  <sheetViews>
    <sheetView zoomScaleNormal="100" workbookViewId="0">
      <selection activeCell="O9" sqref="D7:O9"/>
    </sheetView>
  </sheetViews>
  <sheetFormatPr defaultRowHeight="15" x14ac:dyDescent="0.25"/>
  <cols>
    <col min="1" max="1" width="21.28515625" customWidth="1"/>
    <col min="2" max="2" width="12.28515625" customWidth="1"/>
    <col min="3" max="3" width="11.5703125" style="7" customWidth="1"/>
    <col min="4" max="5" width="11.7109375" style="7" customWidth="1"/>
    <col min="6" max="6" width="11.85546875" style="7" customWidth="1"/>
    <col min="7" max="8" width="11.42578125" customWidth="1"/>
    <col min="9" max="9" width="11.7109375" customWidth="1"/>
    <col min="10" max="10" width="11.28515625" customWidth="1"/>
    <col min="11" max="11" width="12.28515625" customWidth="1"/>
    <col min="12" max="12" width="11.42578125" customWidth="1"/>
    <col min="13" max="13" width="11.28515625" customWidth="1"/>
    <col min="14" max="14" width="11.7109375" customWidth="1"/>
    <col min="15" max="15" width="11.85546875" customWidth="1"/>
    <col min="17" max="17" width="11.5703125" customWidth="1"/>
  </cols>
  <sheetData>
    <row r="1" spans="1:18" x14ac:dyDescent="0.25">
      <c r="A1" s="14" t="s">
        <v>76</v>
      </c>
      <c r="B1" s="14"/>
      <c r="C1" s="15"/>
      <c r="D1" s="15"/>
      <c r="E1" s="15"/>
      <c r="F1" s="15"/>
      <c r="G1" s="14"/>
      <c r="H1" s="14"/>
      <c r="I1" s="14"/>
      <c r="J1" s="14"/>
      <c r="K1" s="10"/>
      <c r="L1" s="10"/>
      <c r="M1" s="10"/>
      <c r="N1" s="10"/>
      <c r="O1" s="10"/>
    </row>
    <row r="2" spans="1:18" ht="15.75" customHeight="1" x14ac:dyDescent="0.25">
      <c r="A2" s="16"/>
      <c r="B2" s="16"/>
      <c r="C2" s="17"/>
      <c r="D2" s="17"/>
      <c r="E2" s="17"/>
      <c r="F2" s="17"/>
      <c r="G2" s="16"/>
      <c r="H2" s="16"/>
      <c r="I2" s="16"/>
      <c r="J2" s="16"/>
      <c r="K2" s="10"/>
      <c r="L2" s="10"/>
      <c r="M2" s="10"/>
      <c r="N2" s="10"/>
      <c r="O2" s="10"/>
    </row>
    <row r="3" spans="1:18" ht="15" customHeight="1" x14ac:dyDescent="0.25">
      <c r="A3" s="18" t="s">
        <v>50</v>
      </c>
      <c r="B3" s="19" t="s">
        <v>20</v>
      </c>
      <c r="C3" s="185" t="s">
        <v>86</v>
      </c>
      <c r="D3" s="186"/>
      <c r="E3" s="186"/>
      <c r="F3" s="186"/>
      <c r="G3" s="186"/>
      <c r="H3" s="186"/>
      <c r="I3" s="186"/>
      <c r="J3" s="186"/>
      <c r="K3" s="186"/>
      <c r="L3" s="186"/>
      <c r="M3" s="186"/>
      <c r="N3" s="186"/>
      <c r="O3" s="187"/>
    </row>
    <row r="4" spans="1:18" x14ac:dyDescent="0.25">
      <c r="A4" s="20"/>
      <c r="B4" s="13"/>
      <c r="C4" s="21" t="s">
        <v>34</v>
      </c>
      <c r="D4" s="22" t="s">
        <v>42</v>
      </c>
      <c r="E4" s="23" t="s">
        <v>39</v>
      </c>
      <c r="F4" s="22" t="s">
        <v>40</v>
      </c>
      <c r="G4" s="24" t="s">
        <v>29</v>
      </c>
      <c r="H4" s="25" t="s">
        <v>30</v>
      </c>
      <c r="I4" s="25" t="s">
        <v>31</v>
      </c>
      <c r="J4" s="24" t="s">
        <v>32</v>
      </c>
      <c r="K4" s="24" t="s">
        <v>43</v>
      </c>
      <c r="L4" s="25" t="s">
        <v>44</v>
      </c>
      <c r="M4" s="25" t="s">
        <v>45</v>
      </c>
      <c r="N4" s="24" t="s">
        <v>46</v>
      </c>
      <c r="O4" s="24" t="s">
        <v>47</v>
      </c>
    </row>
    <row r="5" spans="1:18" x14ac:dyDescent="0.25">
      <c r="A5" s="192" t="s">
        <v>77</v>
      </c>
      <c r="B5" s="193"/>
      <c r="C5" s="193"/>
      <c r="D5" s="193"/>
      <c r="E5" s="193"/>
      <c r="F5" s="193"/>
      <c r="G5" s="82"/>
      <c r="H5" s="82"/>
      <c r="I5" s="82"/>
      <c r="J5" s="82"/>
      <c r="K5" s="82"/>
      <c r="L5" s="82"/>
      <c r="M5" s="82"/>
      <c r="N5" s="82"/>
      <c r="O5" s="83"/>
    </row>
    <row r="6" spans="1:18" x14ac:dyDescent="0.25">
      <c r="A6" s="120" t="s">
        <v>48</v>
      </c>
      <c r="B6" s="84">
        <f>'анализ 1 кварт-2023'!D24</f>
        <v>4000000</v>
      </c>
      <c r="C6" s="44">
        <f>D6</f>
        <v>40762490.969999999</v>
      </c>
      <c r="D6" s="27">
        <v>40762490.969999999</v>
      </c>
      <c r="E6" s="27">
        <f t="shared" ref="E6:O6" si="0">D27</f>
        <v>32071218.240000002</v>
      </c>
      <c r="F6" s="27">
        <f t="shared" si="0"/>
        <v>25845818.790000003</v>
      </c>
      <c r="G6" s="53">
        <f t="shared" si="0"/>
        <v>26347933.290000003</v>
      </c>
      <c r="H6" s="53">
        <f t="shared" si="0"/>
        <v>30704035.100000001</v>
      </c>
      <c r="I6" s="53">
        <f t="shared" si="0"/>
        <v>24726899.810000002</v>
      </c>
      <c r="J6" s="53">
        <f t="shared" si="0"/>
        <v>25677886.620000001</v>
      </c>
      <c r="K6" s="53">
        <f t="shared" si="0"/>
        <v>26607721.720000003</v>
      </c>
      <c r="L6" s="53">
        <f t="shared" si="0"/>
        <v>26642364.770000003</v>
      </c>
      <c r="M6" s="53">
        <f t="shared" si="0"/>
        <v>26528679.000000004</v>
      </c>
      <c r="N6" s="53">
        <f t="shared" si="0"/>
        <v>26611577.730000004</v>
      </c>
      <c r="O6" s="53">
        <f t="shared" si="0"/>
        <v>28806447.920000006</v>
      </c>
    </row>
    <row r="7" spans="1:18" x14ac:dyDescent="0.25">
      <c r="A7" s="121" t="s">
        <v>64</v>
      </c>
      <c r="B7" s="84"/>
      <c r="C7" s="44">
        <f t="shared" ref="C7:C9" si="1">D7</f>
        <v>0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3">
        <v>2812.67</v>
      </c>
      <c r="Q7" s="3">
        <f>P7/P10*100</f>
        <v>67.557369252866664</v>
      </c>
      <c r="R7" s="2">
        <v>68</v>
      </c>
    </row>
    <row r="8" spans="1:18" x14ac:dyDescent="0.25">
      <c r="A8" s="84" t="s">
        <v>65</v>
      </c>
      <c r="B8" s="84"/>
      <c r="C8" s="44">
        <f t="shared" si="1"/>
        <v>0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3">
        <v>1151.3499999999999</v>
      </c>
      <c r="Q8" s="3">
        <f>P8/P10*100</f>
        <v>27.654213643722166</v>
      </c>
      <c r="R8" s="2">
        <v>20</v>
      </c>
    </row>
    <row r="9" spans="1:18" x14ac:dyDescent="0.25">
      <c r="A9" s="84" t="s">
        <v>66</v>
      </c>
      <c r="B9" s="84"/>
      <c r="C9" s="44">
        <f t="shared" si="1"/>
        <v>0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3">
        <v>199.36</v>
      </c>
      <c r="Q9" s="3">
        <f>P9/P10*100</f>
        <v>4.7884171034111711</v>
      </c>
      <c r="R9" s="2">
        <f>100-R7-R8</f>
        <v>12</v>
      </c>
    </row>
    <row r="10" spans="1:18" x14ac:dyDescent="0.25">
      <c r="A10" s="121" t="s">
        <v>49</v>
      </c>
      <c r="B10" s="84"/>
      <c r="C10" s="44">
        <f t="shared" ref="C10" si="2">G10+H10+I10+J10+D10+E10+F10+K10+L10+M10+N10+O10</f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3">
        <f>SUM(P7:P9)</f>
        <v>4163.38</v>
      </c>
      <c r="Q10" s="3"/>
      <c r="R10" s="2"/>
    </row>
    <row r="11" spans="1:18" x14ac:dyDescent="0.25">
      <c r="A11" s="123" t="s">
        <v>41</v>
      </c>
      <c r="B11" s="84">
        <f>SUM(B6:B10)</f>
        <v>4000000</v>
      </c>
      <c r="C11" s="49">
        <f>C6</f>
        <v>40762490.969999999</v>
      </c>
      <c r="D11" s="50">
        <f>SUM(D7:D10)</f>
        <v>0</v>
      </c>
      <c r="E11" s="50">
        <f t="shared" ref="E11:O11" si="3">SUM(E7:E10)</f>
        <v>0</v>
      </c>
      <c r="F11" s="50">
        <f t="shared" si="3"/>
        <v>0</v>
      </c>
      <c r="G11" s="61">
        <f t="shared" si="3"/>
        <v>0</v>
      </c>
      <c r="H11" s="61">
        <f t="shared" si="3"/>
        <v>0</v>
      </c>
      <c r="I11" s="61">
        <f t="shared" si="3"/>
        <v>0</v>
      </c>
      <c r="J11" s="61">
        <f t="shared" si="3"/>
        <v>0</v>
      </c>
      <c r="K11" s="61">
        <f t="shared" si="3"/>
        <v>0</v>
      </c>
      <c r="L11" s="61">
        <f t="shared" si="3"/>
        <v>0</v>
      </c>
      <c r="M11" s="61">
        <f t="shared" si="3"/>
        <v>0</v>
      </c>
      <c r="N11" s="61">
        <f t="shared" si="3"/>
        <v>0</v>
      </c>
      <c r="O11" s="61">
        <f t="shared" si="3"/>
        <v>0</v>
      </c>
      <c r="P11" s="3"/>
      <c r="Q11" s="3"/>
    </row>
    <row r="12" spans="1:18" x14ac:dyDescent="0.25">
      <c r="A12" s="190" t="s">
        <v>73</v>
      </c>
      <c r="B12" s="191"/>
      <c r="C12" s="191"/>
      <c r="D12" s="191"/>
      <c r="E12" s="191"/>
      <c r="F12" s="191"/>
      <c r="G12" s="80"/>
      <c r="H12" s="80"/>
      <c r="I12" s="80"/>
      <c r="J12" s="80"/>
      <c r="K12" s="80"/>
      <c r="L12" s="80"/>
      <c r="M12" s="80"/>
      <c r="N12" s="80"/>
      <c r="O12" s="81"/>
    </row>
    <row r="13" spans="1:18" x14ac:dyDescent="0.25">
      <c r="A13" s="120" t="s">
        <v>48</v>
      </c>
      <c r="B13" s="48">
        <f>'анализ 1 кварт-2023'!F24</f>
        <v>20967083.350000001</v>
      </c>
      <c r="C13" s="44">
        <f>G13+H13+I13+J13+D13+E13+F13+K13+L13+M13+N13+O13</f>
        <v>41063411.539999999</v>
      </c>
      <c r="D13" s="45">
        <v>796041.7</v>
      </c>
      <c r="E13" s="45">
        <v>412803</v>
      </c>
      <c r="F13" s="45">
        <v>7417847.8099999996</v>
      </c>
      <c r="G13" s="45">
        <v>5470478.8799999999</v>
      </c>
      <c r="H13" s="45">
        <v>166892.28</v>
      </c>
      <c r="I13" s="45">
        <v>2330101</v>
      </c>
      <c r="J13" s="45">
        <v>4452836.41</v>
      </c>
      <c r="K13" s="45">
        <v>2289425.41</v>
      </c>
      <c r="L13" s="45">
        <v>3113721.07</v>
      </c>
      <c r="M13" s="45">
        <v>3446616.94</v>
      </c>
      <c r="N13" s="45">
        <v>6020369.1699999999</v>
      </c>
      <c r="O13" s="45">
        <v>5146277.87</v>
      </c>
    </row>
    <row r="14" spans="1:18" x14ac:dyDescent="0.25">
      <c r="A14" s="121" t="s">
        <v>64</v>
      </c>
      <c r="B14" s="48"/>
      <c r="C14" s="44">
        <f t="shared" ref="C14:C17" si="4">G14+H14+I14+J14+D14+E14+F14+K14+L14+M14+N14+O14</f>
        <v>0</v>
      </c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</row>
    <row r="15" spans="1:18" x14ac:dyDescent="0.25">
      <c r="A15" s="84" t="s">
        <v>65</v>
      </c>
      <c r="B15" s="48"/>
      <c r="C15" s="44">
        <f t="shared" si="4"/>
        <v>0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</row>
    <row r="16" spans="1:18" x14ac:dyDescent="0.25">
      <c r="A16" s="84" t="s">
        <v>66</v>
      </c>
      <c r="B16" s="48"/>
      <c r="C16" s="44">
        <f t="shared" si="4"/>
        <v>0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</row>
    <row r="17" spans="1:17" x14ac:dyDescent="0.25">
      <c r="A17" s="121" t="s">
        <v>49</v>
      </c>
      <c r="B17" s="124">
        <f>SUM(B13:B16)</f>
        <v>20967083.350000001</v>
      </c>
      <c r="C17" s="44">
        <f t="shared" si="4"/>
        <v>0</v>
      </c>
      <c r="D17" s="50">
        <v>0</v>
      </c>
      <c r="E17" s="50">
        <v>0</v>
      </c>
      <c r="F17" s="50">
        <v>0</v>
      </c>
      <c r="G17" s="50">
        <v>0</v>
      </c>
      <c r="H17" s="50">
        <v>0</v>
      </c>
      <c r="I17" s="50">
        <v>0</v>
      </c>
      <c r="J17" s="50">
        <v>0</v>
      </c>
      <c r="K17" s="50">
        <v>0</v>
      </c>
      <c r="L17" s="50">
        <v>0</v>
      </c>
      <c r="M17" s="50">
        <v>0</v>
      </c>
      <c r="N17" s="50">
        <v>0</v>
      </c>
      <c r="O17" s="50">
        <v>0</v>
      </c>
    </row>
    <row r="18" spans="1:17" x14ac:dyDescent="0.25">
      <c r="A18" s="123" t="s">
        <v>41</v>
      </c>
      <c r="B18" s="51"/>
      <c r="C18" s="52">
        <f>C13</f>
        <v>41063411.539999999</v>
      </c>
      <c r="D18" s="50">
        <f>SUM(D14:D17)</f>
        <v>0</v>
      </c>
      <c r="E18" s="50">
        <f t="shared" ref="E18:O18" si="5">SUM(E14:E17)</f>
        <v>0</v>
      </c>
      <c r="F18" s="50">
        <f t="shared" si="5"/>
        <v>0</v>
      </c>
      <c r="G18" s="50">
        <f t="shared" si="5"/>
        <v>0</v>
      </c>
      <c r="H18" s="50">
        <f t="shared" si="5"/>
        <v>0</v>
      </c>
      <c r="I18" s="50">
        <f t="shared" si="5"/>
        <v>0</v>
      </c>
      <c r="J18" s="50">
        <f t="shared" si="5"/>
        <v>0</v>
      </c>
      <c r="K18" s="50">
        <f t="shared" si="5"/>
        <v>0</v>
      </c>
      <c r="L18" s="50">
        <f t="shared" si="5"/>
        <v>0</v>
      </c>
      <c r="M18" s="50">
        <f t="shared" si="5"/>
        <v>0</v>
      </c>
      <c r="N18" s="50">
        <f t="shared" si="5"/>
        <v>0</v>
      </c>
      <c r="O18" s="50">
        <f t="shared" si="5"/>
        <v>0</v>
      </c>
    </row>
    <row r="19" spans="1:17" x14ac:dyDescent="0.25">
      <c r="A19" s="190" t="s">
        <v>74</v>
      </c>
      <c r="B19" s="191"/>
      <c r="C19" s="191"/>
      <c r="D19" s="191"/>
      <c r="E19" s="191"/>
      <c r="F19" s="191"/>
      <c r="G19" s="80"/>
      <c r="H19" s="80"/>
      <c r="I19" s="80"/>
      <c r="J19" s="80"/>
      <c r="K19" s="80"/>
      <c r="L19" s="80"/>
      <c r="M19" s="80"/>
      <c r="N19" s="80"/>
      <c r="O19" s="81"/>
    </row>
    <row r="20" spans="1:17" x14ac:dyDescent="0.25">
      <c r="A20" s="120" t="s">
        <v>48</v>
      </c>
      <c r="B20" s="48">
        <f>'анализ 1 кварт-2023'!G24</f>
        <v>13841058.66</v>
      </c>
      <c r="C20" s="44">
        <f>G20+H20+I20+J20+D20+E20+F20+K20+L20+M20+N20+O20</f>
        <v>52152924.979999997</v>
      </c>
      <c r="D20" s="45">
        <v>9487314.4299999997</v>
      </c>
      <c r="E20" s="45">
        <v>6638202.4500000002</v>
      </c>
      <c r="F20" s="45">
        <v>6915733.3099999996</v>
      </c>
      <c r="G20" s="45">
        <v>1114377.07</v>
      </c>
      <c r="H20" s="45">
        <v>6144027.5700000003</v>
      </c>
      <c r="I20" s="45">
        <v>1379114.19</v>
      </c>
      <c r="J20" s="45">
        <v>3523001.31</v>
      </c>
      <c r="K20" s="45">
        <v>2254782.36</v>
      </c>
      <c r="L20" s="45">
        <v>3227406.84</v>
      </c>
      <c r="M20" s="45">
        <v>3363718.21</v>
      </c>
      <c r="N20" s="45">
        <v>3825498.98</v>
      </c>
      <c r="O20" s="45">
        <v>4279748.26</v>
      </c>
    </row>
    <row r="21" spans="1:17" x14ac:dyDescent="0.25">
      <c r="A21" s="121" t="s">
        <v>64</v>
      </c>
      <c r="B21" s="48"/>
      <c r="C21" s="44">
        <f>G21+H21+I21+J21+D21+E21+F21+K21+L21+M21+N21+O21</f>
        <v>0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</row>
    <row r="22" spans="1:17" x14ac:dyDescent="0.25">
      <c r="A22" s="84" t="s">
        <v>65</v>
      </c>
      <c r="B22" s="48"/>
      <c r="C22" s="44">
        <f t="shared" ref="C22:C24" si="6">G22+H22+I22+J22+D22+E22+F22+K22+L22+M22+N22+O22</f>
        <v>0</v>
      </c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17" x14ac:dyDescent="0.25">
      <c r="A23" s="84" t="s">
        <v>66</v>
      </c>
      <c r="B23" s="48"/>
      <c r="C23" s="44">
        <f t="shared" si="6"/>
        <v>0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  <row r="24" spans="1:17" x14ac:dyDescent="0.25">
      <c r="A24" s="121" t="s">
        <v>49</v>
      </c>
      <c r="B24" s="48"/>
      <c r="C24" s="44">
        <f t="shared" si="6"/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  <c r="O24" s="50">
        <v>0</v>
      </c>
    </row>
    <row r="25" spans="1:17" x14ac:dyDescent="0.25">
      <c r="A25" s="125" t="s">
        <v>41</v>
      </c>
      <c r="B25" s="48">
        <f>SUM(B20:B24)</f>
        <v>13841058.66</v>
      </c>
      <c r="C25" s="49">
        <f>SUM(C21:C24)</f>
        <v>0</v>
      </c>
      <c r="D25" s="50">
        <f>SUM(D21:D24)</f>
        <v>0</v>
      </c>
      <c r="E25" s="50">
        <f t="shared" ref="E25:O25" si="7">SUM(E21:E24)</f>
        <v>0</v>
      </c>
      <c r="F25" s="50">
        <f t="shared" si="7"/>
        <v>0</v>
      </c>
      <c r="G25" s="50">
        <f t="shared" si="7"/>
        <v>0</v>
      </c>
      <c r="H25" s="50">
        <f t="shared" si="7"/>
        <v>0</v>
      </c>
      <c r="I25" s="50">
        <f t="shared" si="7"/>
        <v>0</v>
      </c>
      <c r="J25" s="50">
        <f t="shared" si="7"/>
        <v>0</v>
      </c>
      <c r="K25" s="50">
        <f t="shared" si="7"/>
        <v>0</v>
      </c>
      <c r="L25" s="50">
        <f t="shared" si="7"/>
        <v>0</v>
      </c>
      <c r="M25" s="50">
        <f t="shared" si="7"/>
        <v>0</v>
      </c>
      <c r="N25" s="50">
        <f t="shared" si="7"/>
        <v>0</v>
      </c>
      <c r="O25" s="50">
        <f t="shared" si="7"/>
        <v>0</v>
      </c>
    </row>
    <row r="26" spans="1:17" x14ac:dyDescent="0.25">
      <c r="A26" s="192" t="s">
        <v>78</v>
      </c>
      <c r="B26" s="193"/>
      <c r="C26" s="193"/>
      <c r="D26" s="193"/>
      <c r="E26" s="193"/>
      <c r="F26" s="193"/>
      <c r="G26" s="80"/>
      <c r="H26" s="80"/>
      <c r="I26" s="80"/>
      <c r="J26" s="80"/>
      <c r="K26" s="80"/>
      <c r="L26" s="80"/>
      <c r="M26" s="80"/>
      <c r="N26" s="80"/>
      <c r="O26" s="81"/>
    </row>
    <row r="27" spans="1:17" x14ac:dyDescent="0.25">
      <c r="A27" s="26" t="s">
        <v>48</v>
      </c>
      <c r="B27" s="84">
        <f t="shared" ref="B27:O27" si="8">B6+B13-B20</f>
        <v>11126024.690000001</v>
      </c>
      <c r="C27" s="44">
        <f t="shared" si="8"/>
        <v>29672977.529999994</v>
      </c>
      <c r="D27" s="45">
        <f>D6+D13-D20</f>
        <v>32071218.240000002</v>
      </c>
      <c r="E27" s="45">
        <f>E6+E13-E20</f>
        <v>25845818.790000003</v>
      </c>
      <c r="F27" s="45">
        <f>F6+F13-F20</f>
        <v>26347933.290000003</v>
      </c>
      <c r="G27" s="45">
        <f t="shared" si="8"/>
        <v>30704035.100000001</v>
      </c>
      <c r="H27" s="45">
        <f t="shared" si="8"/>
        <v>24726899.810000002</v>
      </c>
      <c r="I27" s="45">
        <f t="shared" si="8"/>
        <v>25677886.620000001</v>
      </c>
      <c r="J27" s="45">
        <f t="shared" si="8"/>
        <v>26607721.720000003</v>
      </c>
      <c r="K27" s="45">
        <f t="shared" si="8"/>
        <v>26642364.770000003</v>
      </c>
      <c r="L27" s="45">
        <f t="shared" si="8"/>
        <v>26528679.000000004</v>
      </c>
      <c r="M27" s="45">
        <f t="shared" si="8"/>
        <v>26611577.730000004</v>
      </c>
      <c r="N27" s="45">
        <f t="shared" si="8"/>
        <v>28806447.920000006</v>
      </c>
      <c r="O27" s="45">
        <f t="shared" si="8"/>
        <v>29672977.530000009</v>
      </c>
      <c r="Q27">
        <v>29672977.530000001</v>
      </c>
    </row>
    <row r="28" spans="1:17" x14ac:dyDescent="0.25">
      <c r="A28" s="12" t="s">
        <v>64</v>
      </c>
      <c r="B28" s="11"/>
      <c r="C28" s="44">
        <f>C7+C14-C21</f>
        <v>0</v>
      </c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</row>
    <row r="29" spans="1:17" x14ac:dyDescent="0.25">
      <c r="A29" s="11" t="s">
        <v>65</v>
      </c>
      <c r="B29" s="11"/>
      <c r="C29" s="44">
        <f>C8+C15-C22</f>
        <v>0</v>
      </c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</row>
    <row r="30" spans="1:17" x14ac:dyDescent="0.25">
      <c r="A30" s="11" t="s">
        <v>66</v>
      </c>
      <c r="B30" s="11"/>
      <c r="C30" s="44">
        <f>C9+C16-C23</f>
        <v>0</v>
      </c>
      <c r="D30" s="6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</row>
    <row r="31" spans="1:17" x14ac:dyDescent="0.25">
      <c r="A31" s="12" t="s">
        <v>49</v>
      </c>
      <c r="B31" s="11"/>
      <c r="C31" s="44">
        <f t="shared" ref="C31" si="9">G31+H31+I31+J31+D31+E31+F31+K31+L31+M31+N31+O31</f>
        <v>0</v>
      </c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</row>
    <row r="32" spans="1:17" x14ac:dyDescent="0.25">
      <c r="A32" s="46" t="s">
        <v>41</v>
      </c>
      <c r="B32" s="84">
        <f>SUM(B27:B31)</f>
        <v>11126024.690000001</v>
      </c>
      <c r="C32" s="44">
        <f>C11+C18-C25</f>
        <v>81825902.50999999</v>
      </c>
      <c r="D32" s="61">
        <f>SUM(D28:D31)</f>
        <v>0</v>
      </c>
      <c r="E32" s="61">
        <f t="shared" ref="E32:O32" si="10">SUM(E28:E31)</f>
        <v>0</v>
      </c>
      <c r="F32" s="61">
        <f t="shared" si="10"/>
        <v>0</v>
      </c>
      <c r="G32" s="61">
        <f t="shared" si="10"/>
        <v>0</v>
      </c>
      <c r="H32" s="61">
        <f t="shared" si="10"/>
        <v>0</v>
      </c>
      <c r="I32" s="61">
        <f t="shared" si="10"/>
        <v>0</v>
      </c>
      <c r="J32" s="61">
        <f t="shared" si="10"/>
        <v>0</v>
      </c>
      <c r="K32" s="61">
        <f t="shared" si="10"/>
        <v>0</v>
      </c>
      <c r="L32" s="61">
        <f t="shared" si="10"/>
        <v>0</v>
      </c>
      <c r="M32" s="61">
        <f t="shared" si="10"/>
        <v>0</v>
      </c>
      <c r="N32" s="61">
        <f t="shared" si="10"/>
        <v>0</v>
      </c>
      <c r="O32" s="61">
        <f t="shared" si="10"/>
        <v>0</v>
      </c>
    </row>
    <row r="33" spans="1:15" x14ac:dyDescent="0.25">
      <c r="A33" s="189"/>
      <c r="B33" s="189"/>
      <c r="C33" s="189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</row>
    <row r="34" spans="1:15" x14ac:dyDescent="0.25">
      <c r="A34" s="40"/>
      <c r="B34" s="40"/>
      <c r="C34" s="128" t="s">
        <v>70</v>
      </c>
      <c r="D34" s="74"/>
      <c r="E34" s="74"/>
      <c r="F34" s="74"/>
      <c r="G34" s="40"/>
      <c r="H34" s="40"/>
      <c r="I34" s="40"/>
      <c r="J34" s="40"/>
      <c r="K34" s="40" t="s">
        <v>71</v>
      </c>
      <c r="L34" s="40"/>
      <c r="M34" s="40"/>
      <c r="N34" s="40"/>
      <c r="O34" s="40"/>
    </row>
    <row r="35" spans="1:15" x14ac:dyDescent="0.25">
      <c r="A35" s="188" t="s">
        <v>59</v>
      </c>
      <c r="B35" s="188"/>
      <c r="C35" s="188"/>
      <c r="D35" s="188"/>
      <c r="E35" s="188"/>
      <c r="F35" s="188"/>
      <c r="G35" s="188"/>
      <c r="H35" s="128"/>
      <c r="I35" s="188" t="s">
        <v>59</v>
      </c>
      <c r="J35" s="188"/>
      <c r="K35" s="188"/>
      <c r="L35" s="188"/>
      <c r="M35" s="188"/>
      <c r="N35" s="188"/>
      <c r="O35" s="188"/>
    </row>
    <row r="36" spans="1:15" x14ac:dyDescent="0.25">
      <c r="A36" s="59"/>
      <c r="B36" s="59"/>
      <c r="C36" s="72"/>
      <c r="D36" s="72" t="s">
        <v>35</v>
      </c>
      <c r="E36" s="72" t="s">
        <v>61</v>
      </c>
      <c r="F36" s="72" t="s">
        <v>62</v>
      </c>
      <c r="G36" s="59"/>
      <c r="H36" s="129"/>
      <c r="I36" s="59"/>
      <c r="J36" s="59"/>
      <c r="K36" s="72"/>
      <c r="L36" s="72" t="s">
        <v>35</v>
      </c>
      <c r="M36" s="72" t="s">
        <v>61</v>
      </c>
      <c r="N36" s="72" t="s">
        <v>62</v>
      </c>
      <c r="O36" s="59"/>
    </row>
    <row r="37" spans="1:15" x14ac:dyDescent="0.25">
      <c r="A37" s="54" t="s">
        <v>75</v>
      </c>
      <c r="B37" s="56"/>
      <c r="C37" s="57"/>
      <c r="D37" s="55" t="s">
        <v>87</v>
      </c>
      <c r="E37" s="55" t="s">
        <v>88</v>
      </c>
      <c r="F37" s="55" t="s">
        <v>89</v>
      </c>
      <c r="G37" s="62"/>
      <c r="H37" s="129"/>
      <c r="I37" s="54" t="s">
        <v>36</v>
      </c>
      <c r="J37" s="56"/>
      <c r="K37" s="57"/>
      <c r="L37" s="55" t="s">
        <v>90</v>
      </c>
      <c r="M37" s="55" t="s">
        <v>91</v>
      </c>
      <c r="N37" s="55" t="s">
        <v>92</v>
      </c>
      <c r="O37" s="62"/>
    </row>
    <row r="38" spans="1:15" x14ac:dyDescent="0.25">
      <c r="A38" s="54" t="s">
        <v>63</v>
      </c>
      <c r="B38" s="59"/>
      <c r="C38" s="57"/>
      <c r="D38" s="63">
        <f>C14</f>
        <v>0</v>
      </c>
      <c r="E38" s="63">
        <f>C15</f>
        <v>0</v>
      </c>
      <c r="F38" s="63">
        <f>C16</f>
        <v>0</v>
      </c>
      <c r="G38" s="126">
        <f>SUM(D38:F38)</f>
        <v>0</v>
      </c>
      <c r="H38" s="58"/>
      <c r="I38" s="54" t="s">
        <v>63</v>
      </c>
      <c r="J38" s="59"/>
      <c r="K38" s="57"/>
      <c r="L38" s="63">
        <f>C21</f>
        <v>0</v>
      </c>
      <c r="M38" s="63">
        <f>C22</f>
        <v>0</v>
      </c>
      <c r="N38" s="63">
        <f>C23</f>
        <v>0</v>
      </c>
      <c r="O38" s="126">
        <f>SUM(L38:N38)</f>
        <v>0</v>
      </c>
    </row>
    <row r="39" spans="1:15" x14ac:dyDescent="0.25">
      <c r="A39" s="54" t="s">
        <v>37</v>
      </c>
      <c r="B39" s="54"/>
      <c r="C39" s="57"/>
      <c r="D39" s="50">
        <f>D38/D37</f>
        <v>0</v>
      </c>
      <c r="E39" s="73"/>
      <c r="F39" s="73"/>
      <c r="G39" s="127">
        <f>SUM(D39:F39)</f>
        <v>0</v>
      </c>
      <c r="I39" s="54" t="s">
        <v>37</v>
      </c>
      <c r="J39" s="54"/>
      <c r="K39" s="57"/>
      <c r="L39" s="50">
        <f>L38/L37</f>
        <v>0</v>
      </c>
      <c r="M39" s="73"/>
      <c r="N39" s="73"/>
      <c r="O39" s="127">
        <f>SUM(L39:N39)</f>
        <v>0</v>
      </c>
    </row>
    <row r="40" spans="1:15" x14ac:dyDescent="0.25">
      <c r="A40" s="54" t="s">
        <v>67</v>
      </c>
      <c r="B40" s="54"/>
      <c r="C40" s="57"/>
      <c r="D40" s="50"/>
      <c r="E40" s="50">
        <f>E38/E37</f>
        <v>0</v>
      </c>
      <c r="F40" s="50"/>
      <c r="G40" s="127">
        <f>SUM(D40:F40)</f>
        <v>0</v>
      </c>
      <c r="I40" s="54" t="s">
        <v>67</v>
      </c>
      <c r="J40" s="54"/>
      <c r="K40" s="57"/>
      <c r="L40" s="50"/>
      <c r="M40" s="50">
        <f>M38/M37</f>
        <v>0</v>
      </c>
      <c r="N40" s="50"/>
      <c r="O40" s="127">
        <f>SUM(L40:N40)</f>
        <v>0</v>
      </c>
    </row>
    <row r="41" spans="1:15" x14ac:dyDescent="0.25">
      <c r="A41" s="54" t="s">
        <v>60</v>
      </c>
      <c r="B41" s="54"/>
      <c r="C41" s="57"/>
      <c r="D41" s="47"/>
      <c r="E41" s="47"/>
      <c r="F41" s="50">
        <f>F38/F37</f>
        <v>0</v>
      </c>
      <c r="G41" s="127">
        <f>SUM(D41:F41)</f>
        <v>0</v>
      </c>
      <c r="I41" s="54" t="s">
        <v>60</v>
      </c>
      <c r="J41" s="54"/>
      <c r="K41" s="57"/>
      <c r="L41" s="47"/>
      <c r="M41" s="47"/>
      <c r="N41" s="50">
        <f>N38/N37</f>
        <v>0</v>
      </c>
      <c r="O41" s="127">
        <f>SUM(L41:N41)</f>
        <v>0</v>
      </c>
    </row>
    <row r="42" spans="1:15" x14ac:dyDescent="0.25">
      <c r="A42" s="40"/>
      <c r="B42" s="40"/>
      <c r="C42" s="74"/>
      <c r="D42" s="74"/>
      <c r="E42" s="74"/>
      <c r="F42" s="74"/>
      <c r="G42" s="40"/>
    </row>
  </sheetData>
  <mergeCells count="8">
    <mergeCell ref="C3:O3"/>
    <mergeCell ref="I35:O35"/>
    <mergeCell ref="A35:G35"/>
    <mergeCell ref="A33:O33"/>
    <mergeCell ref="A12:F12"/>
    <mergeCell ref="A5:F5"/>
    <mergeCell ref="A26:F26"/>
    <mergeCell ref="A19:F19"/>
  </mergeCells>
  <pageMargins left="0.98425196850393704" right="7.874015748031496E-2" top="0.23622047244094491" bottom="0.19685039370078741" header="0.19685039370078741" footer="0.19685039370078741"/>
  <pageSetup paperSize="9" scale="67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3"/>
  <sheetViews>
    <sheetView workbookViewId="0">
      <selection activeCell="D27" sqref="D27"/>
    </sheetView>
  </sheetViews>
  <sheetFormatPr defaultRowHeight="15" x14ac:dyDescent="0.25"/>
  <cols>
    <col min="2" max="2" width="21.7109375" style="40" customWidth="1"/>
    <col min="3" max="3" width="16.7109375" style="137" customWidth="1"/>
    <col min="4" max="4" width="17" style="137" customWidth="1"/>
    <col min="5" max="5" width="14.28515625" style="137" customWidth="1"/>
    <col min="6" max="6" width="11.5703125" style="10" customWidth="1"/>
  </cols>
  <sheetData>
    <row r="1" spans="2:6" x14ac:dyDescent="0.25">
      <c r="C1" s="138" t="s">
        <v>98</v>
      </c>
    </row>
    <row r="3" spans="2:6" x14ac:dyDescent="0.25">
      <c r="B3" s="198" t="s">
        <v>33</v>
      </c>
      <c r="C3" s="194" t="s">
        <v>38</v>
      </c>
      <c r="D3" s="194" t="s">
        <v>55</v>
      </c>
      <c r="E3" s="200" t="s">
        <v>56</v>
      </c>
      <c r="F3" s="196" t="s">
        <v>54</v>
      </c>
    </row>
    <row r="4" spans="2:6" x14ac:dyDescent="0.25">
      <c r="B4" s="199"/>
      <c r="C4" s="195"/>
      <c r="D4" s="195"/>
      <c r="E4" s="200"/>
      <c r="F4" s="197"/>
    </row>
    <row r="5" spans="2:6" x14ac:dyDescent="0.25">
      <c r="B5" s="132" t="s">
        <v>52</v>
      </c>
      <c r="C5" s="134">
        <v>474054128.39999998</v>
      </c>
      <c r="D5" s="134">
        <v>581325572.59000003</v>
      </c>
      <c r="E5" s="135">
        <f>C5-D5</f>
        <v>-107271444.19000006</v>
      </c>
      <c r="F5" s="130">
        <f t="shared" ref="F5:F10" si="0">D5/C5*100</f>
        <v>122.62852230652572</v>
      </c>
    </row>
    <row r="6" spans="2:6" x14ac:dyDescent="0.25">
      <c r="B6" s="132" t="s">
        <v>53</v>
      </c>
      <c r="C6" s="134">
        <v>706072111.82000005</v>
      </c>
      <c r="D6" s="134">
        <v>485163440.41000003</v>
      </c>
      <c r="E6" s="134">
        <f t="shared" ref="E6:E9" si="1">C6-D6</f>
        <v>220908671.41000003</v>
      </c>
      <c r="F6" s="130">
        <f t="shared" si="0"/>
        <v>68.713015609612896</v>
      </c>
    </row>
    <row r="7" spans="2:6" x14ac:dyDescent="0.25">
      <c r="B7" s="132" t="s">
        <v>51</v>
      </c>
      <c r="C7" s="134">
        <v>540886681.88</v>
      </c>
      <c r="D7" s="134">
        <v>528940737.89999998</v>
      </c>
      <c r="E7" s="134">
        <f t="shared" si="1"/>
        <v>11945943.980000019</v>
      </c>
      <c r="F7" s="130">
        <f t="shared" si="0"/>
        <v>97.791414656674732</v>
      </c>
    </row>
    <row r="8" spans="2:6" x14ac:dyDescent="0.25">
      <c r="B8" s="132" t="s">
        <v>93</v>
      </c>
      <c r="C8" s="134">
        <v>666024538.15999997</v>
      </c>
      <c r="D8" s="134">
        <v>635923147.51999998</v>
      </c>
      <c r="E8" s="134">
        <f t="shared" si="1"/>
        <v>30101390.639999986</v>
      </c>
      <c r="F8" s="130">
        <f t="shared" si="0"/>
        <v>95.48043819479085</v>
      </c>
    </row>
    <row r="9" spans="2:6" x14ac:dyDescent="0.25">
      <c r="B9" s="132" t="s">
        <v>94</v>
      </c>
      <c r="C9" s="134">
        <v>685225734.86000001</v>
      </c>
      <c r="D9" s="134">
        <v>626652917.26999998</v>
      </c>
      <c r="E9" s="134">
        <f t="shared" si="1"/>
        <v>58572817.590000033</v>
      </c>
      <c r="F9" s="130">
        <f t="shared" si="0"/>
        <v>91.452040603529412</v>
      </c>
    </row>
    <row r="10" spans="2:6" x14ac:dyDescent="0.25">
      <c r="B10" s="132" t="s">
        <v>95</v>
      </c>
      <c r="C10" s="134">
        <v>629399782.12</v>
      </c>
      <c r="D10" s="134">
        <v>0</v>
      </c>
      <c r="E10" s="134">
        <f t="shared" ref="E10" si="2">C10-D10</f>
        <v>629399782.12</v>
      </c>
      <c r="F10" s="130">
        <f t="shared" si="0"/>
        <v>0</v>
      </c>
    </row>
    <row r="11" spans="2:6" x14ac:dyDescent="0.25">
      <c r="B11" s="132" t="s">
        <v>96</v>
      </c>
      <c r="C11" s="134"/>
      <c r="D11" s="134"/>
      <c r="E11" s="134"/>
      <c r="F11" s="130"/>
    </row>
    <row r="12" spans="2:6" x14ac:dyDescent="0.25">
      <c r="B12" s="132" t="s">
        <v>97</v>
      </c>
      <c r="C12" s="134"/>
      <c r="D12" s="134"/>
      <c r="E12" s="134"/>
      <c r="F12" s="130"/>
    </row>
    <row r="13" spans="2:6" x14ac:dyDescent="0.25">
      <c r="B13" s="133"/>
      <c r="C13" s="136">
        <f>SUM(C5:C12)</f>
        <v>3701662977.2399998</v>
      </c>
      <c r="D13" s="136">
        <f>SUM(D5:D12)</f>
        <v>2858005815.6900001</v>
      </c>
      <c r="E13" s="136">
        <f>SUM(E5:E12)</f>
        <v>843657161.54999995</v>
      </c>
      <c r="F13" s="131">
        <f>D13/C13*100</f>
        <v>77.208698719000083</v>
      </c>
    </row>
  </sheetData>
  <mergeCells count="5">
    <mergeCell ref="C3:C4"/>
    <mergeCell ref="D3:D4"/>
    <mergeCell ref="F3:F4"/>
    <mergeCell ref="B3:B4"/>
    <mergeCell ref="E3:E4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"/>
  <sheetViews>
    <sheetView workbookViewId="0">
      <selection sqref="A1:J18"/>
    </sheetView>
  </sheetViews>
  <sheetFormatPr defaultRowHeight="15" x14ac:dyDescent="0.25"/>
  <cols>
    <col min="1" max="1" width="8.85546875" style="161"/>
    <col min="2" max="2" width="14.28515625" style="161" customWidth="1"/>
    <col min="3" max="3" width="14.85546875" style="161" customWidth="1"/>
    <col min="4" max="4" width="15.5703125" style="161" customWidth="1"/>
    <col min="5" max="5" width="15" style="161" customWidth="1"/>
    <col min="6" max="6" width="18.140625" style="161" customWidth="1"/>
    <col min="7" max="7" width="16" style="161" customWidth="1"/>
    <col min="8" max="8" width="14.42578125" style="161" customWidth="1"/>
    <col min="9" max="9" width="14.28515625" style="161" customWidth="1"/>
    <col min="10" max="10" width="14.5703125" style="161" customWidth="1"/>
  </cols>
  <sheetData>
    <row r="1" spans="1:14" x14ac:dyDescent="0.25">
      <c r="B1" s="163"/>
      <c r="C1" s="162" t="s">
        <v>127</v>
      </c>
      <c r="D1" s="163"/>
      <c r="E1" s="163"/>
      <c r="F1" s="163"/>
    </row>
    <row r="2" spans="1:14" x14ac:dyDescent="0.25">
      <c r="B2" s="163"/>
      <c r="C2" s="163"/>
      <c r="D2" s="163"/>
      <c r="E2" s="163"/>
      <c r="F2" s="163"/>
    </row>
    <row r="3" spans="1:14" x14ac:dyDescent="0.25">
      <c r="B3" s="163"/>
      <c r="C3" s="163"/>
      <c r="D3" s="163"/>
      <c r="E3" s="163"/>
      <c r="F3" s="163"/>
    </row>
    <row r="4" spans="1:14" x14ac:dyDescent="0.25">
      <c r="A4" s="202" t="s">
        <v>33</v>
      </c>
      <c r="B4" s="207" t="s">
        <v>113</v>
      </c>
      <c r="C4" s="208"/>
      <c r="D4" s="208"/>
      <c r="E4" s="209"/>
      <c r="F4" s="211" t="s">
        <v>126</v>
      </c>
      <c r="G4" s="210" t="s">
        <v>24</v>
      </c>
      <c r="H4" s="210"/>
      <c r="I4" s="210"/>
      <c r="J4" s="210"/>
      <c r="K4" s="10"/>
      <c r="L4" s="10"/>
      <c r="M4" s="10"/>
      <c r="N4" s="10"/>
    </row>
    <row r="5" spans="1:14" ht="21.6" customHeight="1" x14ac:dyDescent="0.25">
      <c r="A5" s="203"/>
      <c r="B5" s="205" t="s">
        <v>123</v>
      </c>
      <c r="C5" s="205" t="s">
        <v>114</v>
      </c>
      <c r="D5" s="201" t="s">
        <v>115</v>
      </c>
      <c r="E5" s="201"/>
      <c r="F5" s="212"/>
      <c r="G5" s="202" t="s">
        <v>119</v>
      </c>
      <c r="H5" s="202" t="s">
        <v>120</v>
      </c>
      <c r="I5" s="202" t="s">
        <v>121</v>
      </c>
      <c r="J5" s="202" t="s">
        <v>122</v>
      </c>
      <c r="K5" s="10"/>
      <c r="L5" s="10"/>
      <c r="M5" s="10"/>
      <c r="N5" s="10"/>
    </row>
    <row r="6" spans="1:14" ht="30.6" customHeight="1" x14ac:dyDescent="0.25">
      <c r="A6" s="204"/>
      <c r="B6" s="206"/>
      <c r="C6" s="206"/>
      <c r="D6" s="164" t="s">
        <v>124</v>
      </c>
      <c r="E6" s="164" t="s">
        <v>125</v>
      </c>
      <c r="F6" s="213"/>
      <c r="G6" s="204"/>
      <c r="H6" s="204"/>
      <c r="I6" s="204"/>
      <c r="J6" s="204"/>
      <c r="K6" s="10"/>
      <c r="L6" s="10"/>
      <c r="M6" s="10"/>
      <c r="N6" s="10"/>
    </row>
    <row r="7" spans="1:14" x14ac:dyDescent="0.25">
      <c r="A7" s="168">
        <v>1</v>
      </c>
      <c r="B7" s="169">
        <v>2</v>
      </c>
      <c r="C7" s="169">
        <v>3</v>
      </c>
      <c r="D7" s="170">
        <v>4</v>
      </c>
      <c r="E7" s="171">
        <v>5</v>
      </c>
      <c r="F7" s="171">
        <v>6</v>
      </c>
      <c r="G7" s="171">
        <v>7</v>
      </c>
      <c r="H7" s="171">
        <v>8</v>
      </c>
      <c r="I7" s="171">
        <v>9</v>
      </c>
      <c r="J7" s="171">
        <v>10</v>
      </c>
      <c r="K7" s="10"/>
      <c r="L7" s="10"/>
      <c r="M7" s="10"/>
      <c r="N7" s="10"/>
    </row>
    <row r="8" spans="1:14" x14ac:dyDescent="0.25">
      <c r="A8" s="54" t="s">
        <v>42</v>
      </c>
      <c r="B8" s="165">
        <v>57771808.909999996</v>
      </c>
      <c r="C8" s="165"/>
      <c r="D8" s="165">
        <v>42606326.229999997</v>
      </c>
      <c r="E8" s="165">
        <v>38636823.770000003</v>
      </c>
      <c r="F8" s="165">
        <f>629399782.12/12</f>
        <v>52449981.843333334</v>
      </c>
      <c r="G8" s="165">
        <f>F8-B8</f>
        <v>-5321827.0666666627</v>
      </c>
      <c r="H8" s="165"/>
      <c r="I8" s="165">
        <f>F8-D8</f>
        <v>9843655.613333337</v>
      </c>
      <c r="J8" s="165">
        <f>F8-E8</f>
        <v>13813158.07333333</v>
      </c>
      <c r="K8" s="10"/>
      <c r="L8" s="10"/>
      <c r="M8" s="10"/>
      <c r="N8" s="10"/>
    </row>
    <row r="9" spans="1:14" x14ac:dyDescent="0.25">
      <c r="A9" s="54" t="s">
        <v>39</v>
      </c>
      <c r="B9" s="165">
        <v>42606326.259999998</v>
      </c>
      <c r="C9" s="165"/>
      <c r="D9" s="165">
        <v>47577312.469999999</v>
      </c>
      <c r="E9" s="165">
        <v>45545538.93</v>
      </c>
      <c r="F9" s="165">
        <f t="shared" ref="F9:F13" si="0">629399782.12/12</f>
        <v>52449981.843333334</v>
      </c>
      <c r="G9" s="165">
        <f t="shared" ref="G9:G13" si="1">F9-B9</f>
        <v>9843655.5833333358</v>
      </c>
      <c r="H9" s="165"/>
      <c r="I9" s="165">
        <f t="shared" ref="I9:I15" si="2">F9-D9</f>
        <v>4872669.3733333349</v>
      </c>
      <c r="J9" s="165">
        <f t="shared" ref="J9:J15" si="3">F9-E9</f>
        <v>6904442.913333334</v>
      </c>
      <c r="K9" s="10"/>
      <c r="L9" s="10"/>
      <c r="M9" s="10"/>
      <c r="N9" s="10"/>
    </row>
    <row r="10" spans="1:14" x14ac:dyDescent="0.25">
      <c r="A10" s="54" t="s">
        <v>40</v>
      </c>
      <c r="B10" s="165">
        <v>47577312.469999999</v>
      </c>
      <c r="C10" s="165">
        <v>143509005.44</v>
      </c>
      <c r="D10" s="165">
        <v>52625142.670000002</v>
      </c>
      <c r="E10" s="165">
        <v>50582812.219999999</v>
      </c>
      <c r="F10" s="165">
        <f t="shared" si="0"/>
        <v>52449981.843333334</v>
      </c>
      <c r="G10" s="165">
        <f t="shared" si="1"/>
        <v>4872669.3733333349</v>
      </c>
      <c r="H10" s="165">
        <f>F8*3-C10</f>
        <v>13840940.090000004</v>
      </c>
      <c r="I10" s="165">
        <f>F10-D10</f>
        <v>-175160.82666666806</v>
      </c>
      <c r="J10" s="165">
        <f t="shared" si="3"/>
        <v>1867169.6233333349</v>
      </c>
      <c r="K10" s="10"/>
      <c r="L10" s="10"/>
      <c r="M10" s="10"/>
      <c r="N10" s="10"/>
    </row>
    <row r="11" spans="1:14" x14ac:dyDescent="0.25">
      <c r="A11" s="54" t="s">
        <v>116</v>
      </c>
      <c r="B11" s="165">
        <v>52625142.670000002</v>
      </c>
      <c r="C11" s="165"/>
      <c r="D11" s="165">
        <v>47278892.159999996</v>
      </c>
      <c r="E11" s="165">
        <v>43268957.159999996</v>
      </c>
      <c r="F11" s="165">
        <f t="shared" si="0"/>
        <v>52449981.843333334</v>
      </c>
      <c r="G11" s="165">
        <f t="shared" si="1"/>
        <v>-175160.82666666806</v>
      </c>
      <c r="H11" s="165"/>
      <c r="I11" s="165">
        <f t="shared" si="2"/>
        <v>5171089.6833333373</v>
      </c>
      <c r="J11" s="165">
        <f t="shared" si="3"/>
        <v>9181024.6833333373</v>
      </c>
      <c r="K11" s="10"/>
      <c r="L11" s="10"/>
      <c r="M11" s="10"/>
      <c r="N11" s="10"/>
    </row>
    <row r="12" spans="1:14" x14ac:dyDescent="0.25">
      <c r="A12" s="54" t="s">
        <v>117</v>
      </c>
      <c r="B12" s="165">
        <v>47278892.159999996</v>
      </c>
      <c r="C12" s="165"/>
      <c r="D12" s="165">
        <v>45634667.439999998</v>
      </c>
      <c r="E12" s="165">
        <v>41080546.890000001</v>
      </c>
      <c r="F12" s="165">
        <f t="shared" si="0"/>
        <v>52449981.843333334</v>
      </c>
      <c r="G12" s="165">
        <f t="shared" si="1"/>
        <v>5171089.6833333373</v>
      </c>
      <c r="H12" s="165"/>
      <c r="I12" s="165">
        <f t="shared" si="2"/>
        <v>6815314.4033333361</v>
      </c>
      <c r="J12" s="165">
        <f t="shared" si="3"/>
        <v>11369434.953333333</v>
      </c>
      <c r="K12" s="10"/>
      <c r="L12" s="10"/>
      <c r="M12" s="10"/>
      <c r="N12" s="10"/>
    </row>
    <row r="13" spans="1:14" x14ac:dyDescent="0.25">
      <c r="A13" s="54" t="s">
        <v>31</v>
      </c>
      <c r="B13" s="165">
        <v>45634667.439999998</v>
      </c>
      <c r="C13" s="165">
        <f>C16-C10</f>
        <v>150131400.20999998</v>
      </c>
      <c r="D13" s="165">
        <v>45022157.189999998</v>
      </c>
      <c r="E13" s="165">
        <v>37712490.469999999</v>
      </c>
      <c r="F13" s="165">
        <f t="shared" si="0"/>
        <v>52449981.843333334</v>
      </c>
      <c r="G13" s="165">
        <f t="shared" si="1"/>
        <v>6815314.4033333361</v>
      </c>
      <c r="H13" s="165">
        <f>F13*3-C13</f>
        <v>7218545.3200000226</v>
      </c>
      <c r="I13" s="165">
        <f t="shared" si="2"/>
        <v>7427824.6533333361</v>
      </c>
      <c r="J13" s="165">
        <f t="shared" si="3"/>
        <v>14737491.373333335</v>
      </c>
      <c r="K13" s="10"/>
      <c r="L13" s="10"/>
      <c r="M13" s="10"/>
      <c r="N13" s="10"/>
    </row>
    <row r="14" spans="1:14" x14ac:dyDescent="0.25">
      <c r="A14" s="54" t="s">
        <v>32</v>
      </c>
      <c r="B14" s="165"/>
      <c r="C14" s="165"/>
      <c r="D14" s="165"/>
      <c r="E14" s="165"/>
      <c r="F14" s="165"/>
      <c r="G14" s="165"/>
      <c r="H14" s="165"/>
      <c r="I14" s="165">
        <f t="shared" si="2"/>
        <v>0</v>
      </c>
      <c r="J14" s="165">
        <f t="shared" si="3"/>
        <v>0</v>
      </c>
      <c r="K14" s="10"/>
      <c r="L14" s="10"/>
      <c r="M14" s="10"/>
      <c r="N14" s="10"/>
    </row>
    <row r="15" spans="1:14" x14ac:dyDescent="0.25">
      <c r="A15" s="54"/>
      <c r="B15" s="165"/>
      <c r="C15" s="165"/>
      <c r="D15" s="165"/>
      <c r="E15" s="165"/>
      <c r="F15" s="165"/>
      <c r="G15" s="165"/>
      <c r="H15" s="165"/>
      <c r="I15" s="165">
        <f t="shared" si="2"/>
        <v>0</v>
      </c>
      <c r="J15" s="165">
        <f t="shared" si="3"/>
        <v>0</v>
      </c>
      <c r="K15" s="10"/>
      <c r="L15" s="10"/>
      <c r="M15" s="10"/>
      <c r="N15" s="10"/>
    </row>
    <row r="16" spans="1:14" x14ac:dyDescent="0.25">
      <c r="A16" s="166" t="s">
        <v>118</v>
      </c>
      <c r="B16" s="167">
        <f>SUM(B8:B15)</f>
        <v>293494149.90999997</v>
      </c>
      <c r="C16" s="167">
        <v>293640405.64999998</v>
      </c>
      <c r="D16" s="167">
        <f>SUM(D8:D15)</f>
        <v>280744498.15999997</v>
      </c>
      <c r="E16" s="167">
        <f>SUM(E8:E15)</f>
        <v>256827169.44000003</v>
      </c>
      <c r="F16" s="167">
        <f>SUM(F8:F15)</f>
        <v>314699891.06</v>
      </c>
      <c r="G16" s="167">
        <f>SUM(G8:G15)</f>
        <v>21205741.150000013</v>
      </c>
      <c r="H16" s="167">
        <f>F16-C16</f>
        <v>21059485.410000026</v>
      </c>
      <c r="I16" s="167">
        <f>SUM(I8:I15)</f>
        <v>33955392.900000013</v>
      </c>
      <c r="J16" s="167">
        <f>SUM(J8:J15)</f>
        <v>57872721.620000005</v>
      </c>
      <c r="K16" s="10"/>
      <c r="L16" s="10"/>
      <c r="M16" s="10"/>
      <c r="N16" s="10"/>
    </row>
    <row r="17" spans="1:14" x14ac:dyDescent="0.25">
      <c r="A17" s="54"/>
      <c r="B17" s="165"/>
      <c r="C17" s="165"/>
      <c r="D17" s="165"/>
      <c r="E17" s="165"/>
      <c r="F17" s="165"/>
      <c r="G17" s="165"/>
      <c r="H17" s="165"/>
      <c r="I17" s="165"/>
      <c r="J17" s="165"/>
      <c r="K17" s="10"/>
      <c r="L17" s="10"/>
      <c r="M17" s="10"/>
      <c r="N17" s="10"/>
    </row>
    <row r="18" spans="1:14" x14ac:dyDescent="0.25">
      <c r="A18" s="54"/>
      <c r="B18" s="165"/>
      <c r="C18" s="165"/>
      <c r="D18" s="165"/>
      <c r="E18" s="165"/>
      <c r="F18" s="165"/>
      <c r="G18" s="165"/>
      <c r="H18" s="165"/>
      <c r="I18" s="165"/>
      <c r="J18" s="165" t="s">
        <v>128</v>
      </c>
      <c r="K18" s="10"/>
      <c r="L18" s="10"/>
      <c r="M18" s="10"/>
      <c r="N18" s="10"/>
    </row>
    <row r="19" spans="1:14" x14ac:dyDescent="0.25">
      <c r="B19" s="16"/>
      <c r="C19" s="16"/>
      <c r="D19" s="16"/>
      <c r="E19" s="16"/>
      <c r="F19" s="16"/>
      <c r="G19" s="16"/>
      <c r="H19" s="16"/>
      <c r="I19" s="16"/>
      <c r="J19" s="16"/>
      <c r="K19" s="10"/>
      <c r="L19" s="10"/>
      <c r="M19" s="10"/>
      <c r="N19" s="10"/>
    </row>
    <row r="20" spans="1:14" x14ac:dyDescent="0.25">
      <c r="B20" s="16"/>
      <c r="C20" s="16"/>
      <c r="D20" s="16"/>
      <c r="E20" s="16"/>
      <c r="F20" s="16"/>
      <c r="G20" s="16"/>
      <c r="H20" s="16"/>
      <c r="I20" s="16"/>
      <c r="J20" s="16"/>
      <c r="K20" s="10"/>
      <c r="L20" s="10"/>
      <c r="M20" s="10"/>
      <c r="N20" s="10"/>
    </row>
    <row r="21" spans="1:14" x14ac:dyDescent="0.25">
      <c r="B21" s="16"/>
      <c r="C21" s="16"/>
      <c r="D21" s="16"/>
      <c r="E21" s="16"/>
      <c r="F21" s="16"/>
      <c r="G21" s="16"/>
      <c r="H21" s="16"/>
      <c r="I21" s="16"/>
      <c r="J21" s="16"/>
      <c r="K21" s="10"/>
      <c r="L21" s="10"/>
      <c r="M21" s="10"/>
      <c r="N21" s="10"/>
    </row>
    <row r="22" spans="1:14" x14ac:dyDescent="0.25">
      <c r="B22" s="16"/>
      <c r="C22" s="16"/>
      <c r="D22" s="16"/>
      <c r="E22" s="16"/>
      <c r="F22" s="16"/>
      <c r="G22" s="16"/>
      <c r="H22" s="16"/>
      <c r="I22" s="16"/>
      <c r="J22" s="16"/>
      <c r="K22" s="10"/>
      <c r="L22" s="10"/>
      <c r="M22" s="10"/>
      <c r="N22" s="10"/>
    </row>
    <row r="23" spans="1:14" x14ac:dyDescent="0.25">
      <c r="B23" s="16"/>
      <c r="C23" s="16"/>
      <c r="D23" s="16"/>
      <c r="E23" s="16"/>
      <c r="F23" s="16"/>
      <c r="G23" s="16"/>
      <c r="H23" s="16"/>
      <c r="I23" s="16"/>
      <c r="J23" s="16"/>
      <c r="K23" s="10"/>
      <c r="L23" s="10"/>
      <c r="M23" s="10"/>
      <c r="N23" s="10"/>
    </row>
    <row r="24" spans="1:14" x14ac:dyDescent="0.25">
      <c r="B24" s="16"/>
      <c r="C24" s="16"/>
      <c r="D24" s="16"/>
      <c r="E24" s="16"/>
      <c r="F24" s="16"/>
      <c r="G24" s="16"/>
      <c r="H24" s="16"/>
      <c r="I24" s="16"/>
      <c r="J24" s="16"/>
      <c r="K24" s="10"/>
      <c r="L24" s="10"/>
      <c r="M24" s="10"/>
      <c r="N24" s="10"/>
    </row>
    <row r="25" spans="1:14" x14ac:dyDescent="0.25">
      <c r="B25" s="16"/>
      <c r="C25" s="16"/>
      <c r="D25" s="16"/>
      <c r="E25" s="16"/>
      <c r="F25" s="16"/>
      <c r="G25" s="16"/>
      <c r="H25" s="16"/>
      <c r="I25" s="16"/>
      <c r="J25" s="16"/>
      <c r="K25" s="10"/>
      <c r="L25" s="10"/>
      <c r="M25" s="10"/>
      <c r="N25" s="10"/>
    </row>
    <row r="26" spans="1:14" x14ac:dyDescent="0.25">
      <c r="B26" s="16"/>
      <c r="C26" s="16"/>
      <c r="D26" s="16"/>
      <c r="E26" s="16"/>
      <c r="F26" s="16"/>
      <c r="G26" s="16"/>
      <c r="H26" s="16"/>
      <c r="I26" s="16"/>
      <c r="J26" s="16"/>
      <c r="K26" s="10"/>
      <c r="L26" s="10"/>
      <c r="M26" s="10"/>
      <c r="N26" s="10"/>
    </row>
    <row r="27" spans="1:14" x14ac:dyDescent="0.25">
      <c r="B27" s="16"/>
      <c r="C27" s="16"/>
      <c r="D27" s="16"/>
      <c r="E27" s="16"/>
      <c r="F27" s="16"/>
      <c r="G27" s="16"/>
      <c r="H27" s="16"/>
      <c r="I27" s="16"/>
      <c r="J27" s="16"/>
      <c r="K27" s="10"/>
      <c r="L27" s="10"/>
      <c r="M27" s="10"/>
      <c r="N27" s="10"/>
    </row>
    <row r="28" spans="1:14" x14ac:dyDescent="0.25">
      <c r="B28" s="16"/>
      <c r="C28" s="16"/>
      <c r="D28" s="16"/>
      <c r="E28" s="16"/>
      <c r="F28" s="16"/>
      <c r="G28" s="16"/>
      <c r="H28" s="16"/>
      <c r="I28" s="16"/>
      <c r="J28" s="16"/>
      <c r="K28" s="10"/>
      <c r="L28" s="10"/>
      <c r="M28" s="10"/>
      <c r="N28" s="10"/>
    </row>
    <row r="29" spans="1:14" ht="14.45" customHeight="1" x14ac:dyDescent="0.25">
      <c r="B29" s="16"/>
      <c r="C29" s="16"/>
      <c r="D29" s="16"/>
      <c r="E29" s="16"/>
      <c r="F29" s="16"/>
      <c r="G29" s="16"/>
      <c r="H29" s="16"/>
      <c r="I29" s="16"/>
      <c r="J29" s="16"/>
      <c r="K29" s="10"/>
      <c r="L29" s="10"/>
      <c r="M29" s="10"/>
      <c r="N29" s="10"/>
    </row>
    <row r="30" spans="1:14" ht="14.45" customHeight="1" x14ac:dyDescent="0.25">
      <c r="B30" s="16"/>
      <c r="C30" s="16"/>
      <c r="D30" s="16"/>
      <c r="E30" s="16"/>
      <c r="F30" s="16"/>
      <c r="G30" s="16"/>
      <c r="H30" s="16"/>
      <c r="I30" s="16"/>
      <c r="J30" s="16"/>
      <c r="K30" s="10"/>
      <c r="L30" s="10"/>
      <c r="M30" s="10"/>
      <c r="N30" s="10"/>
    </row>
    <row r="31" spans="1:14" ht="14.45" customHeight="1" x14ac:dyDescent="0.25">
      <c r="B31" s="16"/>
      <c r="C31" s="16"/>
      <c r="D31" s="16"/>
      <c r="E31" s="16"/>
      <c r="F31" s="16"/>
      <c r="G31" s="16"/>
      <c r="H31" s="16"/>
      <c r="I31" s="16"/>
      <c r="J31" s="16"/>
      <c r="K31" s="10"/>
      <c r="L31" s="10"/>
      <c r="M31" s="10"/>
      <c r="N31" s="10"/>
    </row>
    <row r="32" spans="1:14" ht="14.45" customHeight="1" x14ac:dyDescent="0.25">
      <c r="B32" s="16"/>
      <c r="C32" s="16"/>
      <c r="D32" s="16"/>
      <c r="E32" s="16"/>
      <c r="F32" s="16"/>
      <c r="G32" s="16"/>
      <c r="H32" s="16"/>
      <c r="I32" s="16"/>
      <c r="J32" s="16"/>
      <c r="K32" s="10"/>
      <c r="L32" s="10"/>
      <c r="M32" s="10"/>
      <c r="N32" s="10"/>
    </row>
    <row r="33" spans="2:14" x14ac:dyDescent="0.25">
      <c r="B33" s="16"/>
      <c r="C33" s="16"/>
      <c r="D33" s="16"/>
      <c r="E33" s="16"/>
      <c r="F33" s="16"/>
      <c r="G33" s="16"/>
      <c r="H33" s="16"/>
      <c r="I33" s="16"/>
      <c r="J33" s="16"/>
      <c r="K33" s="10"/>
      <c r="L33" s="10"/>
      <c r="M33" s="10"/>
      <c r="N33" s="10"/>
    </row>
    <row r="34" spans="2:14" x14ac:dyDescent="0.25">
      <c r="B34" s="16"/>
      <c r="C34" s="16"/>
      <c r="D34" s="16"/>
      <c r="E34" s="16"/>
      <c r="F34" s="16"/>
      <c r="G34" s="16"/>
      <c r="H34" s="16"/>
      <c r="I34" s="16"/>
      <c r="J34" s="16"/>
      <c r="K34" s="10"/>
      <c r="L34" s="10"/>
      <c r="M34" s="10"/>
      <c r="N34" s="10"/>
    </row>
    <row r="35" spans="2:14" x14ac:dyDescent="0.25">
      <c r="B35" s="16"/>
      <c r="C35" s="16"/>
      <c r="D35" s="16"/>
      <c r="E35" s="16"/>
      <c r="F35" s="16"/>
      <c r="G35" s="16"/>
      <c r="H35" s="16"/>
      <c r="I35" s="16"/>
      <c r="J35" s="16"/>
      <c r="K35" s="10"/>
      <c r="L35" s="10"/>
      <c r="M35" s="10"/>
      <c r="N35" s="10"/>
    </row>
    <row r="36" spans="2:14" x14ac:dyDescent="0.25">
      <c r="B36" s="16"/>
      <c r="C36" s="16"/>
      <c r="D36" s="16"/>
      <c r="E36" s="16"/>
      <c r="F36" s="16"/>
      <c r="G36" s="16"/>
      <c r="H36" s="16"/>
      <c r="I36" s="16"/>
      <c r="J36" s="16"/>
      <c r="K36" s="10"/>
      <c r="L36" s="10"/>
      <c r="M36" s="10"/>
      <c r="N36" s="10"/>
    </row>
    <row r="37" spans="2:14" x14ac:dyDescent="0.25">
      <c r="B37" s="16"/>
      <c r="C37" s="16"/>
      <c r="D37" s="16"/>
      <c r="E37" s="16"/>
      <c r="F37" s="16"/>
      <c r="G37" s="16"/>
      <c r="H37" s="16"/>
      <c r="I37" s="16"/>
      <c r="J37" s="16"/>
      <c r="K37" s="10"/>
      <c r="L37" s="10"/>
      <c r="M37" s="10"/>
      <c r="N37" s="10"/>
    </row>
    <row r="38" spans="2:14" x14ac:dyDescent="0.25">
      <c r="B38" s="16"/>
      <c r="C38" s="16"/>
      <c r="D38" s="16"/>
      <c r="E38" s="16"/>
      <c r="F38" s="16"/>
      <c r="G38" s="16"/>
      <c r="H38" s="16"/>
      <c r="I38" s="16"/>
      <c r="J38" s="16"/>
      <c r="K38" s="10"/>
      <c r="L38" s="10"/>
      <c r="M38" s="10"/>
      <c r="N38" s="10"/>
    </row>
    <row r="39" spans="2:14" x14ac:dyDescent="0.25">
      <c r="B39" s="16"/>
      <c r="C39" s="16"/>
      <c r="D39" s="16"/>
      <c r="E39" s="16"/>
      <c r="F39" s="16"/>
      <c r="G39" s="16"/>
      <c r="H39" s="16"/>
      <c r="I39" s="16"/>
      <c r="J39" s="16"/>
      <c r="K39" s="10"/>
      <c r="L39" s="10"/>
      <c r="M39" s="10"/>
      <c r="N39" s="10"/>
    </row>
    <row r="40" spans="2:14" x14ac:dyDescent="0.25">
      <c r="B40" s="16"/>
      <c r="C40" s="16"/>
      <c r="D40" s="16"/>
      <c r="E40" s="16"/>
      <c r="F40" s="16"/>
      <c r="G40" s="16"/>
      <c r="H40" s="16"/>
      <c r="I40" s="16"/>
      <c r="J40" s="16"/>
      <c r="K40" s="10"/>
      <c r="L40" s="10"/>
      <c r="M40" s="10"/>
      <c r="N40" s="10"/>
    </row>
    <row r="41" spans="2:14" x14ac:dyDescent="0.25">
      <c r="B41" s="16"/>
      <c r="C41" s="16"/>
      <c r="D41" s="16"/>
      <c r="E41" s="16"/>
      <c r="F41" s="16"/>
      <c r="G41" s="16"/>
      <c r="H41" s="16"/>
      <c r="I41" s="16"/>
      <c r="J41" s="16"/>
      <c r="K41" s="10"/>
      <c r="L41" s="10"/>
      <c r="M41" s="10"/>
      <c r="N41" s="10"/>
    </row>
    <row r="42" spans="2:14" x14ac:dyDescent="0.25">
      <c r="B42" s="16"/>
      <c r="C42" s="16"/>
      <c r="D42" s="16"/>
      <c r="E42" s="16"/>
      <c r="F42" s="16"/>
      <c r="G42" s="16"/>
      <c r="H42" s="16"/>
      <c r="I42" s="16"/>
      <c r="J42" s="16"/>
      <c r="K42" s="10"/>
      <c r="L42" s="10"/>
      <c r="M42" s="10"/>
      <c r="N42" s="10"/>
    </row>
    <row r="43" spans="2:14" x14ac:dyDescent="0.25">
      <c r="B43" s="16"/>
      <c r="C43" s="16"/>
      <c r="D43" s="16"/>
      <c r="E43" s="16"/>
      <c r="F43" s="16"/>
      <c r="G43" s="16"/>
      <c r="H43" s="16"/>
      <c r="I43" s="16"/>
      <c r="J43" s="16"/>
      <c r="K43" s="10"/>
      <c r="L43" s="10"/>
      <c r="M43" s="10"/>
      <c r="N43" s="10"/>
    </row>
    <row r="44" spans="2:14" x14ac:dyDescent="0.25">
      <c r="B44" s="16"/>
      <c r="C44" s="16"/>
      <c r="D44" s="16"/>
      <c r="E44" s="16"/>
      <c r="F44" s="16"/>
      <c r="G44" s="16"/>
      <c r="H44" s="16"/>
      <c r="I44" s="16"/>
      <c r="J44" s="16"/>
      <c r="K44" s="10"/>
      <c r="L44" s="10"/>
      <c r="M44" s="10"/>
      <c r="N44" s="10"/>
    </row>
    <row r="45" spans="2:14" x14ac:dyDescent="0.25">
      <c r="B45" s="16"/>
      <c r="C45" s="16"/>
      <c r="D45" s="16"/>
      <c r="E45" s="16"/>
      <c r="F45" s="16"/>
      <c r="G45" s="16"/>
      <c r="H45" s="16"/>
      <c r="I45" s="16"/>
      <c r="J45" s="16"/>
      <c r="K45" s="10"/>
      <c r="L45" s="10"/>
      <c r="M45" s="10"/>
      <c r="N45" s="10"/>
    </row>
    <row r="46" spans="2:14" x14ac:dyDescent="0.25">
      <c r="B46" s="16"/>
      <c r="C46" s="16"/>
      <c r="D46" s="16"/>
      <c r="E46" s="16"/>
      <c r="F46" s="16"/>
      <c r="G46" s="16"/>
      <c r="H46" s="16"/>
      <c r="I46" s="16"/>
      <c r="J46" s="16"/>
      <c r="K46" s="10"/>
      <c r="L46" s="10"/>
      <c r="M46" s="10"/>
      <c r="N46" s="10"/>
    </row>
    <row r="47" spans="2:14" x14ac:dyDescent="0.25">
      <c r="B47" s="16"/>
      <c r="C47" s="16"/>
      <c r="D47" s="16"/>
      <c r="E47" s="16"/>
      <c r="F47" s="16"/>
      <c r="G47" s="16"/>
      <c r="H47" s="16"/>
      <c r="I47" s="16"/>
      <c r="J47" s="16"/>
      <c r="K47" s="10"/>
      <c r="L47" s="10"/>
      <c r="M47" s="10"/>
      <c r="N47" s="10"/>
    </row>
    <row r="48" spans="2:14" x14ac:dyDescent="0.25">
      <c r="B48" s="16"/>
      <c r="C48" s="16"/>
      <c r="D48" s="16"/>
      <c r="E48" s="16"/>
      <c r="F48" s="16"/>
      <c r="G48" s="16"/>
      <c r="H48" s="16"/>
      <c r="I48" s="16"/>
      <c r="J48" s="16"/>
      <c r="K48" s="10"/>
      <c r="L48" s="10"/>
      <c r="M48" s="10"/>
      <c r="N48" s="10"/>
    </row>
    <row r="49" spans="2:14" x14ac:dyDescent="0.25">
      <c r="B49" s="16"/>
      <c r="C49" s="16"/>
      <c r="D49" s="16"/>
      <c r="E49" s="16"/>
      <c r="F49" s="16"/>
      <c r="G49" s="16"/>
      <c r="H49" s="16"/>
      <c r="I49" s="16"/>
      <c r="J49" s="16"/>
      <c r="K49" s="10"/>
      <c r="L49" s="10"/>
      <c r="M49" s="10"/>
      <c r="N49" s="10"/>
    </row>
    <row r="50" spans="2:14" x14ac:dyDescent="0.25">
      <c r="B50" s="16"/>
      <c r="C50" s="16"/>
      <c r="D50" s="16"/>
      <c r="E50" s="16"/>
      <c r="F50" s="16"/>
      <c r="G50" s="16"/>
      <c r="H50" s="16"/>
      <c r="I50" s="16"/>
      <c r="J50" s="16"/>
      <c r="K50" s="10"/>
      <c r="L50" s="10"/>
      <c r="M50" s="10"/>
      <c r="N50" s="10"/>
    </row>
    <row r="51" spans="2:14" x14ac:dyDescent="0.25">
      <c r="B51" s="16"/>
      <c r="C51" s="16"/>
      <c r="D51" s="16"/>
      <c r="E51" s="16"/>
      <c r="F51" s="16"/>
      <c r="G51" s="16"/>
      <c r="H51" s="16"/>
      <c r="I51" s="16"/>
      <c r="J51" s="16"/>
      <c r="K51" s="10"/>
      <c r="L51" s="10"/>
      <c r="M51" s="10"/>
      <c r="N51" s="10"/>
    </row>
    <row r="52" spans="2:14" x14ac:dyDescent="0.25">
      <c r="B52" s="16"/>
      <c r="C52" s="16"/>
      <c r="D52" s="16"/>
      <c r="E52" s="16"/>
      <c r="F52" s="16"/>
      <c r="G52" s="16"/>
      <c r="H52" s="16"/>
      <c r="I52" s="16"/>
      <c r="J52" s="16"/>
      <c r="K52" s="10"/>
      <c r="L52" s="10"/>
      <c r="M52" s="10"/>
      <c r="N52" s="10"/>
    </row>
    <row r="53" spans="2:14" x14ac:dyDescent="0.25">
      <c r="B53" s="16"/>
      <c r="C53" s="16"/>
      <c r="D53" s="16"/>
      <c r="E53" s="16"/>
      <c r="F53" s="16"/>
      <c r="G53" s="16"/>
      <c r="H53" s="16"/>
      <c r="I53" s="16"/>
      <c r="J53" s="16"/>
      <c r="K53" s="10"/>
      <c r="L53" s="10"/>
      <c r="M53" s="10"/>
      <c r="N53" s="10"/>
    </row>
    <row r="54" spans="2:14" x14ac:dyDescent="0.25">
      <c r="B54" s="16"/>
      <c r="C54" s="16"/>
      <c r="D54" s="16"/>
      <c r="E54" s="16"/>
      <c r="F54" s="16"/>
      <c r="G54" s="16"/>
      <c r="H54" s="16"/>
      <c r="I54" s="16"/>
      <c r="J54" s="16"/>
      <c r="K54" s="10"/>
      <c r="L54" s="10"/>
      <c r="M54" s="10"/>
      <c r="N54" s="10"/>
    </row>
    <row r="55" spans="2:14" x14ac:dyDescent="0.25">
      <c r="B55" s="16"/>
      <c r="C55" s="16"/>
      <c r="D55" s="16"/>
      <c r="E55" s="16"/>
      <c r="F55" s="16"/>
      <c r="G55" s="16"/>
      <c r="H55" s="16"/>
      <c r="I55" s="16"/>
      <c r="J55" s="16"/>
      <c r="K55" s="10"/>
      <c r="L55" s="10"/>
      <c r="M55" s="10"/>
      <c r="N55" s="10"/>
    </row>
    <row r="56" spans="2:14" x14ac:dyDescent="0.25">
      <c r="B56" s="16"/>
      <c r="C56" s="16"/>
      <c r="D56" s="16"/>
      <c r="E56" s="16"/>
      <c r="F56" s="16"/>
      <c r="G56" s="16"/>
      <c r="H56" s="16"/>
      <c r="I56" s="16"/>
      <c r="J56" s="16"/>
      <c r="K56" s="10"/>
      <c r="L56" s="10"/>
      <c r="M56" s="10"/>
      <c r="N56" s="10"/>
    </row>
    <row r="57" spans="2:14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0"/>
      <c r="L57" s="10"/>
      <c r="M57" s="10"/>
      <c r="N57" s="10"/>
    </row>
    <row r="58" spans="2:14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0"/>
      <c r="L58" s="10"/>
      <c r="M58" s="10"/>
      <c r="N58" s="10"/>
    </row>
    <row r="59" spans="2:14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0"/>
      <c r="L59" s="10"/>
      <c r="M59" s="10"/>
      <c r="N59" s="10"/>
    </row>
    <row r="60" spans="2:14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0"/>
      <c r="L60" s="10"/>
      <c r="M60" s="10"/>
      <c r="N60" s="10"/>
    </row>
    <row r="61" spans="2:14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0"/>
      <c r="L61" s="10"/>
      <c r="M61" s="10"/>
      <c r="N61" s="10"/>
    </row>
    <row r="62" spans="2:14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0"/>
      <c r="L62" s="10"/>
      <c r="M62" s="10"/>
      <c r="N62" s="10"/>
    </row>
    <row r="63" spans="2:14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0"/>
      <c r="L63" s="10"/>
      <c r="M63" s="10"/>
      <c r="N63" s="10"/>
    </row>
    <row r="64" spans="2:14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0"/>
      <c r="L64" s="10"/>
      <c r="M64" s="10"/>
      <c r="N64" s="10"/>
    </row>
    <row r="65" spans="2:14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0"/>
      <c r="L65" s="10"/>
      <c r="M65" s="10"/>
      <c r="N65" s="10"/>
    </row>
    <row r="66" spans="2:14" x14ac:dyDescent="0.25">
      <c r="B66" s="16"/>
      <c r="C66" s="16"/>
      <c r="D66" s="16"/>
      <c r="E66" s="16"/>
      <c r="F66" s="16"/>
      <c r="G66" s="16"/>
      <c r="H66" s="16"/>
      <c r="I66" s="16"/>
      <c r="J66" s="16"/>
      <c r="K66" s="10"/>
      <c r="L66" s="10"/>
      <c r="M66" s="10"/>
      <c r="N66" s="10"/>
    </row>
    <row r="67" spans="2:14" x14ac:dyDescent="0.25">
      <c r="B67" s="16"/>
      <c r="C67" s="16"/>
      <c r="D67" s="16"/>
      <c r="E67" s="16"/>
      <c r="F67" s="16"/>
      <c r="G67" s="16"/>
      <c r="H67" s="16"/>
      <c r="I67" s="16"/>
      <c r="J67" s="16"/>
      <c r="K67" s="10"/>
      <c r="L67" s="10"/>
      <c r="M67" s="10"/>
      <c r="N67" s="10"/>
    </row>
    <row r="68" spans="2:14" x14ac:dyDescent="0.25">
      <c r="B68" s="16"/>
      <c r="C68" s="16"/>
      <c r="D68" s="16"/>
      <c r="E68" s="16"/>
      <c r="F68" s="16"/>
      <c r="G68" s="16"/>
      <c r="H68" s="16"/>
      <c r="I68" s="16"/>
      <c r="J68" s="16"/>
      <c r="K68" s="10"/>
      <c r="L68" s="10"/>
      <c r="M68" s="10"/>
      <c r="N68" s="10"/>
    </row>
    <row r="69" spans="2:14" x14ac:dyDescent="0.25">
      <c r="B69" s="16"/>
      <c r="C69" s="16"/>
      <c r="D69" s="16"/>
      <c r="E69" s="16"/>
      <c r="F69" s="16"/>
      <c r="G69" s="16"/>
      <c r="H69" s="16"/>
      <c r="I69" s="16"/>
      <c r="J69" s="16"/>
      <c r="K69" s="10"/>
      <c r="L69" s="10"/>
      <c r="M69" s="10"/>
      <c r="N69" s="10"/>
    </row>
    <row r="70" spans="2:14" x14ac:dyDescent="0.25">
      <c r="B70" s="16"/>
      <c r="C70" s="16"/>
      <c r="D70" s="16"/>
      <c r="E70" s="16"/>
      <c r="F70" s="16"/>
      <c r="G70" s="16"/>
      <c r="H70" s="16"/>
      <c r="I70" s="16"/>
      <c r="J70" s="16"/>
      <c r="K70" s="10"/>
      <c r="L70" s="10"/>
      <c r="M70" s="10"/>
      <c r="N70" s="10"/>
    </row>
    <row r="71" spans="2:14" x14ac:dyDescent="0.25">
      <c r="B71" s="16"/>
      <c r="C71" s="16"/>
      <c r="D71" s="16"/>
      <c r="E71" s="16"/>
      <c r="F71" s="16"/>
      <c r="G71" s="16"/>
      <c r="H71" s="16"/>
      <c r="I71" s="16"/>
      <c r="J71" s="16"/>
      <c r="K71" s="10"/>
      <c r="L71" s="10"/>
      <c r="M71" s="10"/>
      <c r="N71" s="10"/>
    </row>
    <row r="72" spans="2:14" x14ac:dyDescent="0.25">
      <c r="B72" s="16"/>
      <c r="C72" s="16"/>
      <c r="D72" s="16"/>
      <c r="E72" s="16"/>
      <c r="F72" s="16"/>
      <c r="G72" s="16"/>
      <c r="H72" s="16"/>
      <c r="I72" s="16"/>
      <c r="J72" s="16"/>
      <c r="K72" s="10"/>
      <c r="L72" s="10"/>
      <c r="M72" s="10"/>
      <c r="N72" s="10"/>
    </row>
    <row r="73" spans="2:14" x14ac:dyDescent="0.25">
      <c r="B73" s="16"/>
      <c r="C73" s="16"/>
      <c r="D73" s="16"/>
      <c r="E73" s="16"/>
      <c r="F73" s="16"/>
      <c r="G73" s="16"/>
      <c r="H73" s="16"/>
      <c r="I73" s="16"/>
      <c r="J73" s="16"/>
      <c r="K73" s="10"/>
      <c r="L73" s="10"/>
      <c r="M73" s="10"/>
      <c r="N73" s="10"/>
    </row>
    <row r="74" spans="2:14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0"/>
      <c r="L74" s="10"/>
      <c r="M74" s="10"/>
      <c r="N74" s="10"/>
    </row>
    <row r="75" spans="2:14" x14ac:dyDescent="0.25">
      <c r="B75" s="16"/>
      <c r="C75" s="16"/>
      <c r="D75" s="16"/>
      <c r="E75" s="16"/>
      <c r="F75" s="16"/>
      <c r="G75" s="16"/>
      <c r="H75" s="16"/>
      <c r="I75" s="16"/>
      <c r="J75" s="16"/>
      <c r="K75" s="10"/>
      <c r="L75" s="10"/>
      <c r="M75" s="10"/>
      <c r="N75" s="10"/>
    </row>
    <row r="76" spans="2:14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0"/>
      <c r="L76" s="10"/>
      <c r="M76" s="10"/>
      <c r="N76" s="10"/>
    </row>
    <row r="77" spans="2:14" x14ac:dyDescent="0.25">
      <c r="B77" s="16"/>
      <c r="C77" s="16"/>
      <c r="D77" s="16"/>
      <c r="E77" s="16"/>
      <c r="F77" s="16"/>
      <c r="G77" s="16"/>
      <c r="H77" s="16"/>
      <c r="I77" s="16"/>
      <c r="J77" s="16"/>
      <c r="K77" s="10"/>
      <c r="L77" s="10"/>
      <c r="M77" s="10"/>
      <c r="N77" s="10"/>
    </row>
  </sheetData>
  <mergeCells count="11">
    <mergeCell ref="G4:J4"/>
    <mergeCell ref="F4:F6"/>
    <mergeCell ref="G5:G6"/>
    <mergeCell ref="H5:H6"/>
    <mergeCell ref="I5:I6"/>
    <mergeCell ref="J5:J6"/>
    <mergeCell ref="D5:E5"/>
    <mergeCell ref="A4:A6"/>
    <mergeCell ref="B5:B6"/>
    <mergeCell ref="C5:C6"/>
    <mergeCell ref="B4:E4"/>
  </mergeCells>
  <pageMargins left="0.31496062992125984" right="0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анализ 1 кварт 2023</vt:lpstr>
      <vt:lpstr>анализ 1 кварт-2023</vt:lpstr>
      <vt:lpstr>анализ 1полугод 2023 (2)</vt:lpstr>
      <vt:lpstr>медикаменты-2023</vt:lpstr>
      <vt:lpstr>ПФХД 2018-2025гг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BYH</dc:creator>
  <cp:lastModifiedBy>Пользователь</cp:lastModifiedBy>
  <cp:lastPrinted>2023-07-31T13:42:13Z</cp:lastPrinted>
  <dcterms:created xsi:type="dcterms:W3CDTF">2018-09-03T08:47:41Z</dcterms:created>
  <dcterms:modified xsi:type="dcterms:W3CDTF">2023-08-21T13:09:09Z</dcterms:modified>
</cp:coreProperties>
</file>